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Finances" state="visible" r:id="rId3"/>
    <sheet sheetId="2" name="Rosters" state="visible" r:id="rId4"/>
    <sheet sheetId="3" name="Player Badges" state="visible" r:id="rId5"/>
  </sheets>
  <definedNames/>
  <calcPr/>
</workbook>
</file>

<file path=xl/sharedStrings.xml><?xml version="1.0" encoding="utf-8"?>
<sst xmlns="http://schemas.openxmlformats.org/spreadsheetml/2006/main" count="22848" uniqueCount="347">
  <si>
    <t>Budget</t>
  </si>
  <si>
    <t>Spent</t>
  </si>
  <si>
    <t>Made</t>
  </si>
  <si>
    <t>Rem</t>
  </si>
  <si>
    <t>NON FTL</t>
  </si>
  <si>
    <t>FIFA Trust</t>
  </si>
  <si>
    <t>Manager</t>
  </si>
  <si>
    <t>Team</t>
  </si>
  <si>
    <t>No </t>
  </si>
  <si>
    <t>Transfer</t>
  </si>
  <si>
    <t>Wage</t>
  </si>
  <si>
    <t>Avail</t>
  </si>
  <si>
    <t>Used</t>
  </si>
  <si>
    <t>Pants</t>
  </si>
  <si>
    <t>Millwall</t>
  </si>
  <si>
    <t>2.067</t>
  </si>
  <si>
    <t>NON FTLMillwall</t>
  </si>
  <si>
    <t>FIFA TrustMillwall</t>
  </si>
  <si>
    <t>Tomakasatnav</t>
  </si>
  <si>
    <t>Manchester City</t>
  </si>
  <si>
    <t>0.260</t>
  </si>
  <si>
    <t>NON FTLManchester City</t>
  </si>
  <si>
    <t>FIFA TrustManchester City</t>
  </si>
  <si>
    <t>Wincho</t>
  </si>
  <si>
    <t>Everton</t>
  </si>
  <si>
    <t>1.347</t>
  </si>
  <si>
    <t>NON FTLEverton</t>
  </si>
  <si>
    <t>FIFA TrustEverton</t>
  </si>
  <si>
    <t>Manic</t>
  </si>
  <si>
    <t>Newcastle</t>
  </si>
  <si>
    <t>1.061</t>
  </si>
  <si>
    <t>NON FTLNewcastle</t>
  </si>
  <si>
    <t>FIFA TrustNewcastle</t>
  </si>
  <si>
    <t>AlfromSleep</t>
  </si>
  <si>
    <t>Aberdeen</t>
  </si>
  <si>
    <t>1.404</t>
  </si>
  <si>
    <t>NON FTLAberdeen</t>
  </si>
  <si>
    <t>FIFA TrustAberdeen</t>
  </si>
  <si>
    <t>Cary Brown</t>
  </si>
  <si>
    <t>Rangers</t>
  </si>
  <si>
    <t>0.996</t>
  </si>
  <si>
    <t>NON FTLRangers</t>
  </si>
  <si>
    <t>FIFA TrustRangers</t>
  </si>
  <si>
    <t>Baring</t>
  </si>
  <si>
    <t>Middlesbrough</t>
  </si>
  <si>
    <t>0.829</t>
  </si>
  <si>
    <t>NON FTLMiddlesbrough</t>
  </si>
  <si>
    <t>FIFA TrustMiddlesbrough</t>
  </si>
  <si>
    <t>XYZgames</t>
  </si>
  <si>
    <t>Arsenal</t>
  </si>
  <si>
    <t>0.152</t>
  </si>
  <si>
    <t>NON FTLArsenal</t>
  </si>
  <si>
    <t>FIFA TrustArsenal</t>
  </si>
  <si>
    <t>Mardigan</t>
  </si>
  <si>
    <t>Celtic</t>
  </si>
  <si>
    <t>0.510</t>
  </si>
  <si>
    <t>NON FTLCeltic</t>
  </si>
  <si>
    <t>FIFA TrustCeltic</t>
  </si>
  <si>
    <t>Rocafella</t>
  </si>
  <si>
    <t>Brighton &amp; Hove</t>
  </si>
  <si>
    <t>0.555</t>
  </si>
  <si>
    <t>NON FTLBrighton &amp; Hove</t>
  </si>
  <si>
    <t>FIFA TrustBrighton &amp; Hove</t>
  </si>
  <si>
    <t>Timmo</t>
  </si>
  <si>
    <t>Derby</t>
  </si>
  <si>
    <t>0.454</t>
  </si>
  <si>
    <t>NON FTLDerby</t>
  </si>
  <si>
    <t>FIFA TrustDerby</t>
  </si>
  <si>
    <t>Sith</t>
  </si>
  <si>
    <t>Manchester United</t>
  </si>
  <si>
    <t>0.117</t>
  </si>
  <si>
    <t>NON FTLManchester United</t>
  </si>
  <si>
    <t>FIFA TrustManchester United</t>
  </si>
  <si>
    <t>GrahamDunn</t>
  </si>
  <si>
    <t>Chelsea</t>
  </si>
  <si>
    <t>0.097</t>
  </si>
  <si>
    <t>NON FTLChelsea</t>
  </si>
  <si>
    <t>FIFA TrustChelsea</t>
  </si>
  <si>
    <t>Pompey</t>
  </si>
  <si>
    <t>Portsmouth</t>
  </si>
  <si>
    <t>0.315</t>
  </si>
  <si>
    <t>NON FTLPortsmouth</t>
  </si>
  <si>
    <t>FIFA TrustPortsmouth</t>
  </si>
  <si>
    <t>Steely</t>
  </si>
  <si>
    <t>Swansea</t>
  </si>
  <si>
    <t>0.071</t>
  </si>
  <si>
    <t>NON FTLSwansea</t>
  </si>
  <si>
    <t>FIFA TrustSwansea</t>
  </si>
  <si>
    <t>Jamin</t>
  </si>
  <si>
    <t>Liverpool</t>
  </si>
  <si>
    <t>0.059</t>
  </si>
  <si>
    <t>NON FTLLiverpool</t>
  </si>
  <si>
    <t>Key</t>
  </si>
  <si>
    <t>No</t>
  </si>
  <si>
    <t>Starting</t>
  </si>
  <si>
    <t>New</t>
  </si>
  <si>
    <t>Current</t>
  </si>
  <si>
    <t>Player Name</t>
  </si>
  <si>
    <t>Rating</t>
  </si>
  <si>
    <t>Pos</t>
  </si>
  <si>
    <t>Height</t>
  </si>
  <si>
    <t>Weight</t>
  </si>
  <si>
    <t>Age</t>
  </si>
  <si>
    <t>Value</t>
  </si>
  <si>
    <t>Injured for (season)</t>
  </si>
  <si>
    <t>Newage</t>
  </si>
  <si>
    <t>GK</t>
  </si>
  <si>
    <t>193cm</t>
  </si>
  <si>
    <t>83kg</t>
  </si>
  <si>
    <t>RB</t>
  </si>
  <si>
    <t>183cm</t>
  </si>
  <si>
    <t>69kg</t>
  </si>
  <si>
    <t>RCB</t>
  </si>
  <si>
    <t>CB</t>
  </si>
  <si>
    <t>180cm</t>
  </si>
  <si>
    <t>68kg</t>
  </si>
  <si>
    <t>LCB</t>
  </si>
  <si>
    <t>LB</t>
  </si>
  <si>
    <t>178cm</t>
  </si>
  <si>
    <t>73kg</t>
  </si>
  <si>
    <t>RM</t>
  </si>
  <si>
    <t>170cm</t>
  </si>
  <si>
    <t>70kg</t>
  </si>
  <si>
    <t>RCM</t>
  </si>
  <si>
    <t>CM</t>
  </si>
  <si>
    <t>66kg</t>
  </si>
  <si>
    <t>LCM</t>
  </si>
  <si>
    <t>60kg</t>
  </si>
  <si>
    <t>LM</t>
  </si>
  <si>
    <t>ST</t>
  </si>
  <si>
    <t>173cm</t>
  </si>
  <si>
    <t>RS</t>
  </si>
  <si>
    <t>185cm</t>
  </si>
  <si>
    <t>LS</t>
  </si>
  <si>
    <t>188cm</t>
  </si>
  <si>
    <t>92kg</t>
  </si>
  <si>
    <t>SUB</t>
  </si>
  <si>
    <t>76kg</t>
  </si>
  <si>
    <t>77kg</t>
  </si>
  <si>
    <t>175cm</t>
  </si>
  <si>
    <t>61kg</t>
  </si>
  <si>
    <t>64kg</t>
  </si>
  <si>
    <t>71kg</t>
  </si>
  <si>
    <t>182cm</t>
  </si>
  <si>
    <t>191cm</t>
  </si>
  <si>
    <t>179cm</t>
  </si>
  <si>
    <t>72kg</t>
  </si>
  <si>
    <t>RES</t>
  </si>
  <si>
    <t>168cm</t>
  </si>
  <si>
    <t>65kg</t>
  </si>
  <si>
    <t>181cm</t>
  </si>
  <si>
    <t>75kg</t>
  </si>
  <si>
    <t>190cm</t>
  </si>
  <si>
    <t>80kg</t>
  </si>
  <si>
    <t>CDM</t>
  </si>
  <si>
    <t>187cm</t>
  </si>
  <si>
    <t>84kg</t>
  </si>
  <si>
    <t>RW</t>
  </si>
  <si>
    <t>79kg</t>
  </si>
  <si>
    <t>177cm</t>
  </si>
  <si>
    <t>74kg</t>
  </si>
  <si>
    <t>78kg</t>
  </si>
  <si>
    <t>CAM</t>
  </si>
  <si>
    <t>67kg</t>
  </si>
  <si>
    <t>62kg</t>
  </si>
  <si>
    <t>192cm</t>
  </si>
  <si>
    <t>96kg</t>
  </si>
  <si>
    <t>184cm</t>
  </si>
  <si>
    <t>63kg</t>
  </si>
  <si>
    <t>189cm</t>
  </si>
  <si>
    <t>LW</t>
  </si>
  <si>
    <t>CF</t>
  </si>
  <si>
    <t>176cm</t>
  </si>
  <si>
    <t>186cm</t>
  </si>
  <si>
    <t>LDM</t>
  </si>
  <si>
    <t>88kg</t>
  </si>
  <si>
    <t>195cm</t>
  </si>
  <si>
    <t>94kg</t>
  </si>
  <si>
    <t>90kg</t>
  </si>
  <si>
    <t>85kg</t>
  </si>
  <si>
    <t>86kg</t>
  </si>
  <si>
    <t>198cm</t>
  </si>
  <si>
    <t>174cm</t>
  </si>
  <si>
    <t>81kg</t>
  </si>
  <si>
    <t>93kg</t>
  </si>
  <si>
    <t>91kg</t>
  </si>
  <si>
    <t>RDM</t>
  </si>
  <si>
    <t>172cm</t>
  </si>
  <si>
    <t>194cm</t>
  </si>
  <si>
    <t>201cm</t>
  </si>
  <si>
    <t>Whole</t>
  </si>
  <si>
    <t>89kg</t>
  </si>
  <si>
    <t>87kg</t>
  </si>
  <si>
    <t>82kg</t>
  </si>
  <si>
    <t>95kg</t>
  </si>
  <si>
    <t>171cm</t>
  </si>
  <si>
    <t>199cm</t>
  </si>
  <si>
    <t>165cm</t>
  </si>
  <si>
    <t>196cm</t>
  </si>
  <si>
    <t>203cm</t>
  </si>
  <si>
    <t>162cm</t>
  </si>
  <si>
    <t>ZNON</t>
  </si>
  <si>
    <t>57kg</t>
  </si>
  <si>
    <t>Lazio</t>
  </si>
  <si>
    <t>Valencia</t>
  </si>
  <si>
    <t>169cm</t>
  </si>
  <si>
    <t>55kg</t>
  </si>
  <si>
    <t>163cm</t>
  </si>
  <si>
    <t>Zenit St Petersberg</t>
  </si>
  <si>
    <t>Napoli</t>
  </si>
  <si>
    <t>59kg</t>
  </si>
  <si>
    <t>Benfica</t>
  </si>
  <si>
    <t>Malaga</t>
  </si>
  <si>
    <t>Fiorentina</t>
  </si>
  <si>
    <t>Galatasaray</t>
  </si>
  <si>
    <t>197cm</t>
  </si>
  <si>
    <t>Roma</t>
  </si>
  <si>
    <t>CSKA Moskva</t>
  </si>
  <si>
    <t>Porto</t>
  </si>
  <si>
    <t>166cm</t>
  </si>
  <si>
    <t>Bayer Leverkusen</t>
  </si>
  <si>
    <t>RF</t>
  </si>
  <si>
    <t>LF</t>
  </si>
  <si>
    <t>Lille</t>
  </si>
  <si>
    <t>Udinese</t>
  </si>
  <si>
    <t>Wolfsburg</t>
  </si>
  <si>
    <t>164cm</t>
  </si>
  <si>
    <t>Sevilla</t>
  </si>
  <si>
    <t>58kg</t>
  </si>
  <si>
    <t>Fulham</t>
  </si>
  <si>
    <t>Marselle</t>
  </si>
  <si>
    <t>167cm</t>
  </si>
  <si>
    <t>Corinthians</t>
  </si>
  <si>
    <t>100kg</t>
  </si>
  <si>
    <t>RAM</t>
  </si>
  <si>
    <t>LAM</t>
  </si>
  <si>
    <t>Ath Mineiro</t>
  </si>
  <si>
    <t>Lyon</t>
  </si>
  <si>
    <t>Spartak Moskva</t>
  </si>
  <si>
    <t>Ath Bilbao</t>
  </si>
  <si>
    <t>Real Sociedad</t>
  </si>
  <si>
    <t>Anzhi</t>
  </si>
  <si>
    <t>Torino</t>
  </si>
  <si>
    <t>QPR</t>
  </si>
  <si>
    <t>Borussia Mgladback</t>
  </si>
  <si>
    <t>Sunderland</t>
  </si>
  <si>
    <t>Stoke</t>
  </si>
  <si>
    <t>Hamburger</t>
  </si>
  <si>
    <t>Calgari</t>
  </si>
  <si>
    <t>Catania</t>
  </si>
  <si>
    <t>Atalanta</t>
  </si>
  <si>
    <t>160cm</t>
  </si>
  <si>
    <t>Genoa</t>
  </si>
  <si>
    <t>Sporting CP</t>
  </si>
  <si>
    <t>Saint Etienne</t>
  </si>
  <si>
    <t>AS Monaco</t>
  </si>
  <si>
    <t>Hannover 96</t>
  </si>
  <si>
    <t>97kg</t>
  </si>
  <si>
    <t>Stuttgart</t>
  </si>
  <si>
    <t>Werder Bremen</t>
  </si>
  <si>
    <t>Real Betis</t>
  </si>
  <si>
    <t>56kg</t>
  </si>
  <si>
    <t>Rubin Kazan</t>
  </si>
  <si>
    <t>Gremio</t>
  </si>
  <si>
    <t>Getafe</t>
  </si>
  <si>
    <t>Fluminense</t>
  </si>
  <si>
    <t>Sao Paulo</t>
  </si>
  <si>
    <t>Ajax</t>
  </si>
  <si>
    <t>Stade Rennais</t>
  </si>
  <si>
    <t>Hoffenheim</t>
  </si>
  <si>
    <t>Lokomotiv Moskva</t>
  </si>
  <si>
    <t>Frankfurt</t>
  </si>
  <si>
    <t>Lavante</t>
  </si>
  <si>
    <t>Espanyol</t>
  </si>
  <si>
    <t>Wigan</t>
  </si>
  <si>
    <t>Palermo</t>
  </si>
  <si>
    <t>Olympiakos</t>
  </si>
  <si>
    <t>Santos</t>
  </si>
  <si>
    <t>99kg</t>
  </si>
  <si>
    <t>Cruzeiro</t>
  </si>
  <si>
    <t>Internacional</t>
  </si>
  <si>
    <t>Parma</t>
  </si>
  <si>
    <t>Aston Villa</t>
  </si>
  <si>
    <t>Montpellier</t>
  </si>
  <si>
    <t>Bologna</t>
  </si>
  <si>
    <t>Braga</t>
  </si>
  <si>
    <t>PSV</t>
  </si>
  <si>
    <t>Chievo</t>
  </si>
  <si>
    <t>RWB</t>
  </si>
  <si>
    <t>LWB</t>
  </si>
  <si>
    <t>Bordeaux</t>
  </si>
  <si>
    <t>Barcelona</t>
  </si>
  <si>
    <t>Real Madrid</t>
  </si>
  <si>
    <t>Bayern Munich</t>
  </si>
  <si>
    <t>Juventus</t>
  </si>
  <si>
    <t>Tottenham</t>
  </si>
  <si>
    <t>Borussia Dortmund</t>
  </si>
  <si>
    <t>AC Milan</t>
  </si>
  <si>
    <t>Inter Milan</t>
  </si>
  <si>
    <t>PSG</t>
  </si>
  <si>
    <t>Athletico Madrid</t>
  </si>
  <si>
    <t>Schalke</t>
  </si>
  <si>
    <t>T. Hildebrand</t>
  </si>
  <si>
    <t>A. Uchida</t>
  </si>
  <si>
    <t>B. Höwedes</t>
  </si>
  <si>
    <t>J. Matip</t>
  </si>
  <si>
    <t>S. Kolasinac</t>
  </si>
  <si>
    <t>J. Jones</t>
  </si>
  <si>
    <t>R. Neustädter</t>
  </si>
  <si>
    <t>J. Farfán</t>
  </si>
  <si>
    <t>Michel Bastos</t>
  </si>
  <si>
    <t>J. Draxler</t>
  </si>
  <si>
    <t>K. Huntelaar</t>
  </si>
  <si>
    <t>M. Höger</t>
  </si>
  <si>
    <t>M. Meyer</t>
  </si>
  <si>
    <t>T. Pukki</t>
  </si>
  <si>
    <t>K. Papadopoulos</t>
  </si>
  <si>
    <t>R. Fährmann</t>
  </si>
  <si>
    <t>T. Barnetta</t>
  </si>
  <si>
    <t>Raffael</t>
  </si>
  <si>
    <t>C. Marica</t>
  </si>
  <si>
    <t>C. Metzelder</t>
  </si>
  <si>
    <t>I. Afellay</t>
  </si>
  <si>
    <t>C. Obasi</t>
  </si>
  <si>
    <t>C. Fuchs</t>
  </si>
  <si>
    <t>R. Klingenburg</t>
  </si>
  <si>
    <t>K. Ayhan</t>
  </si>
  <si>
    <t>Manuel Torres</t>
  </si>
  <si>
    <t>L. Unnerstall</t>
  </si>
  <si>
    <t>C. Moritz</t>
  </si>
  <si>
    <t>V. Pliatsikas</t>
  </si>
  <si>
    <t>D. Erdmann</t>
  </si>
  <si>
    <t>Poacher</t>
  </si>
  <si>
    <t>Speedster</t>
  </si>
  <si>
    <t>Aerial Threat</t>
  </si>
  <si>
    <t>Dribbler</t>
  </si>
  <si>
    <t>Playmaker </t>
  </si>
  <si>
    <t>Engine</t>
  </si>
  <si>
    <t>Distance Shooter</t>
  </si>
  <si>
    <t>Crosser</t>
  </si>
  <si>
    <t>FK Specialist</t>
  </si>
  <si>
    <t>Tackling </t>
  </si>
  <si>
    <t>Tactician </t>
  </si>
  <si>
    <t>Acrobat</t>
  </si>
  <si>
    <t>Strength</t>
  </si>
  <si>
    <t>Clinical Finisher</t>
  </si>
  <si>
    <t>M. Sissoko</t>
  </si>
</sst>
</file>

<file path=xl/styles.xml><?xml version="1.0" encoding="utf-8"?>
<styleSheet xmlns="http://schemas.openxmlformats.org/spreadsheetml/2006/main" xmlns:x14ac="http://schemas.microsoft.com/office/spreadsheetml/2009/9/ac" xmlns:mc="http://schemas.openxmlformats.org/markup-compatibility/2006">
  <numFmts count="30">
    <numFmt numFmtId="164" formatCode="0.0"/>
    <numFmt numFmtId="165" formatCode="0.000"/>
    <numFmt numFmtId="166" formatCode="0.000"/>
    <numFmt numFmtId="167" formatCode="0.000"/>
    <numFmt numFmtId="168" formatCode="0.000"/>
    <numFmt numFmtId="169" formatCode="0.0"/>
    <numFmt numFmtId="170" formatCode="0.000"/>
    <numFmt numFmtId="171" formatCode="0.0"/>
    <numFmt numFmtId="172" formatCode="0.000"/>
    <numFmt numFmtId="173" formatCode="0.0"/>
    <numFmt numFmtId="174" formatCode="0.000"/>
    <numFmt numFmtId="175" formatCode="#,##0.0"/>
    <numFmt numFmtId="176" formatCode="0.0"/>
    <numFmt numFmtId="177" formatCode="0.0"/>
    <numFmt numFmtId="178" formatCode="0.000"/>
    <numFmt numFmtId="179" formatCode="0.000"/>
    <numFmt numFmtId="180" formatCode="0.000"/>
    <numFmt numFmtId="181" formatCode="0.0"/>
    <numFmt numFmtId="182" formatCode="0.0"/>
    <numFmt numFmtId="183" formatCode="0.0"/>
    <numFmt numFmtId="184" formatCode="0.000"/>
    <numFmt numFmtId="185" formatCode="0.000"/>
    <numFmt numFmtId="186" formatCode="0.0"/>
    <numFmt numFmtId="187" formatCode="0.0"/>
    <numFmt numFmtId="188" formatCode="0.000"/>
    <numFmt numFmtId="189" formatCode="#,##0.0"/>
    <numFmt numFmtId="190" formatCode="0.000"/>
    <numFmt numFmtId="191" formatCode="0.0"/>
    <numFmt numFmtId="192" formatCode="0.000"/>
    <numFmt numFmtId="193" formatCode="#,##0.0"/>
  </numFmts>
  <fonts count="80">
    <font>
      <b val="0"/>
      <i val="0"/>
      <strike val="0"/>
      <u val="none"/>
      <sz val="10.0"/>
      <color rgb="FF000000"/>
      <name val="Arial"/>
    </font>
    <font>
      <b/>
      <i val="0"/>
      <strike val="0"/>
      <u val="none"/>
      <sz val="11.0"/>
      <color rgb="FF000000"/>
      <name val="Calibri"/>
    </font>
    <font>
      <b val="0"/>
      <i val="0"/>
      <strike val="0"/>
      <u val="none"/>
      <sz val="10.0"/>
      <color rgb="FF000000"/>
      <name val="Arial"/>
    </font>
    <font>
      <b val="0"/>
      <i val="0"/>
      <strike val="0"/>
      <u val="none"/>
      <sz val="11.0"/>
      <color rgb="FF000000"/>
      <name val="Calibri"/>
    </font>
    <font>
      <b/>
      <i val="0"/>
      <strike val="0"/>
      <u val="none"/>
      <sz val="10.0"/>
      <color rgb="FF000000"/>
      <name val="Arial"/>
    </font>
    <font>
      <b/>
      <i val="0"/>
      <strike val="0"/>
      <u val="none"/>
      <sz val="11.0"/>
      <color rgb="FF000000"/>
      <name val="Calibri"/>
    </font>
    <font>
      <b/>
      <i val="0"/>
      <strike val="0"/>
      <u val="none"/>
      <sz val="11.0"/>
      <color rgb="FF000000"/>
      <name val="Calibri"/>
    </font>
    <font>
      <b val="0"/>
      <i val="0"/>
      <strike val="0"/>
      <u val="none"/>
      <sz val="10.0"/>
      <color rgb="FF000000"/>
      <name val="Arial"/>
    </font>
    <font>
      <b/>
      <i val="0"/>
      <strike val="0"/>
      <u val="none"/>
      <sz val="10.0"/>
      <color rgb="FF000000"/>
      <name val="Arial"/>
    </font>
    <font>
      <b/>
      <i val="0"/>
      <strike val="0"/>
      <u val="none"/>
      <sz val="11.0"/>
      <color rgb="FFC00000"/>
      <name val="Calibri"/>
    </font>
    <font>
      <b val="0"/>
      <i val="0"/>
      <strike val="0"/>
      <u/>
      <sz val="10.0"/>
      <color rgb="FF0000FF"/>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1.0"/>
      <color rgb="FFFF0000"/>
      <name val="Calibri"/>
    </font>
    <font>
      <b/>
      <i val="0"/>
      <strike val="0"/>
      <u val="none"/>
      <sz val="11.0"/>
      <color rgb="FFFF0000"/>
      <name val="Calibri"/>
    </font>
    <font>
      <b/>
      <i val="0"/>
      <strike val="0"/>
      <u val="none"/>
      <sz val="11.0"/>
      <color rgb="FFC00000"/>
      <name val="Calibri"/>
    </font>
    <font>
      <b val="0"/>
      <i val="0"/>
      <strike val="0"/>
      <u val="none"/>
      <sz val="11.0"/>
      <color rgb="FF000000"/>
      <name val="Calibri"/>
    </font>
    <font>
      <b val="0"/>
      <i val="0"/>
      <strike val="0"/>
      <u val="none"/>
      <sz val="11.0"/>
      <color rgb="FF000000"/>
      <name val="Calibri"/>
    </font>
    <font>
      <b/>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i val="0"/>
      <strike val="0"/>
      <u val="none"/>
      <sz val="11.0"/>
      <color rgb="FF000000"/>
      <name val="Calibri"/>
    </font>
    <font>
      <b val="0"/>
      <i val="0"/>
      <strike val="0"/>
      <u val="none"/>
      <sz val="11.0"/>
      <color rgb="FF000000"/>
      <name val="Calibri"/>
    </font>
    <font>
      <b/>
      <i val="0"/>
      <strike val="0"/>
      <u val="none"/>
      <sz val="11.0"/>
      <color rgb="FF000000"/>
      <name val="Calibri"/>
    </font>
    <font>
      <b val="0"/>
      <i val="0"/>
      <strike val="0"/>
      <u val="none"/>
      <sz val="10.0"/>
      <color rgb="FF000000"/>
      <name val="Arial"/>
    </font>
    <font>
      <b val="0"/>
      <i val="0"/>
      <strike val="0"/>
      <u val="none"/>
      <sz val="10.0"/>
      <color rgb="FF000000"/>
      <name val="Arial"/>
    </font>
    <font>
      <b/>
      <i val="0"/>
      <strike val="0"/>
      <u val="none"/>
      <sz val="11.0"/>
      <color rgb="FFFF0000"/>
      <name val="Calibri"/>
    </font>
    <font>
      <b val="0"/>
      <i val="0"/>
      <strike val="0"/>
      <u val="none"/>
      <sz val="11.0"/>
      <color rgb="FF000000"/>
      <name val="Calibri"/>
    </font>
    <font>
      <b/>
      <i val="0"/>
      <strike val="0"/>
      <u val="none"/>
      <sz val="11.0"/>
      <color rgb="FFC00000"/>
      <name val="Calibri"/>
    </font>
    <font>
      <b val="0"/>
      <i val="0"/>
      <strike val="0"/>
      <u val="none"/>
      <sz val="11.0"/>
      <color rgb="FF000000"/>
      <name val="Calibri"/>
    </font>
    <font>
      <b val="0"/>
      <i val="0"/>
      <strike val="0"/>
      <u val="none"/>
      <sz val="11.0"/>
      <color rgb="FF000000"/>
      <name val="Calibri"/>
    </font>
    <font>
      <b val="0"/>
      <i val="0"/>
      <strike val="0"/>
      <u/>
      <sz val="10.0"/>
      <color rgb="FF0000FF"/>
      <name val="Arial"/>
    </font>
    <font>
      <b/>
      <i val="0"/>
      <strike val="0"/>
      <u val="none"/>
      <sz val="11.0"/>
      <color rgb="FF000000"/>
      <name val="Calibri"/>
    </font>
    <font>
      <b/>
      <i val="0"/>
      <strike val="0"/>
      <u val="none"/>
      <sz val="10.0"/>
      <color rgb="FF000000"/>
      <name val="Arial"/>
    </font>
    <font>
      <b val="0"/>
      <i val="0"/>
      <strike val="0"/>
      <u val="none"/>
      <sz val="10.0"/>
      <color rgb="FF000000"/>
      <name val="Arial"/>
    </font>
    <font>
      <b/>
      <i val="0"/>
      <strike val="0"/>
      <u val="none"/>
      <sz val="11.0"/>
      <color rgb="FFFF0000"/>
      <name val="Calibri"/>
    </font>
    <font>
      <b/>
      <i val="0"/>
      <strike val="0"/>
      <u val="none"/>
      <sz val="11.0"/>
      <color rgb="FF000000"/>
      <name val="Calibri"/>
    </font>
    <font>
      <b val="0"/>
      <i val="0"/>
      <strike val="0"/>
      <u val="none"/>
      <sz val="10.0"/>
      <color rgb="FF000000"/>
      <name val="Arial"/>
    </font>
    <font>
      <b/>
      <i val="0"/>
      <strike val="0"/>
      <u val="none"/>
      <sz val="11.0"/>
      <color rgb="FF000000"/>
      <name val="Calibri"/>
    </font>
    <font>
      <b val="0"/>
      <i val="0"/>
      <strike val="0"/>
      <u val="none"/>
      <sz val="10.0"/>
      <color rgb="FF000000"/>
      <name val="Arial"/>
    </font>
    <font>
      <b val="0"/>
      <i val="0"/>
      <strike val="0"/>
      <u val="none"/>
      <sz val="11.0"/>
      <color rgb="FF000000"/>
      <name val="Calibri"/>
    </font>
    <font>
      <b/>
      <i val="0"/>
      <strike val="0"/>
      <u val="none"/>
      <sz val="11.0"/>
      <color rgb="FF000000"/>
      <name val="Calibri"/>
    </font>
    <font>
      <b/>
      <i val="0"/>
      <strike val="0"/>
      <u val="none"/>
      <sz val="11.0"/>
      <color rgb="FF00B050"/>
      <name val="Calibri"/>
    </font>
    <font>
      <b val="0"/>
      <i val="0"/>
      <strike val="0"/>
      <u val="none"/>
      <sz val="11.0"/>
      <color rgb="FF000000"/>
      <name val="Calibri"/>
    </font>
    <font>
      <b/>
      <i val="0"/>
      <strike val="0"/>
      <u val="none"/>
      <sz val="10.0"/>
      <color rgb="FF000000"/>
      <name val="Arial"/>
    </font>
    <font>
      <b/>
      <i val="0"/>
      <strike val="0"/>
      <u val="none"/>
      <sz val="11.0"/>
      <color rgb="FF000000"/>
      <name val="Calibri"/>
    </font>
    <font>
      <b/>
      <i val="0"/>
      <strike val="0"/>
      <u val="none"/>
      <sz val="11.0"/>
      <color rgb="FF00B050"/>
      <name val="Calibri"/>
    </font>
    <font>
      <b val="0"/>
      <i val="0"/>
      <strike val="0"/>
      <u val="none"/>
      <sz val="11.0"/>
      <color rgb="FF000000"/>
      <name val="Calibri"/>
    </font>
    <font>
      <b/>
      <i val="0"/>
      <strike val="0"/>
      <u val="none"/>
      <sz val="11.0"/>
      <color rgb="FFFF0000"/>
      <name val="Calibri"/>
    </font>
    <font>
      <b/>
      <i val="0"/>
      <strike val="0"/>
      <u val="none"/>
      <sz val="11.0"/>
      <color rgb="FF000000"/>
      <name val="Calibri"/>
    </font>
    <font>
      <b/>
      <i val="0"/>
      <strike val="0"/>
      <u val="none"/>
      <sz val="11.0"/>
      <color rgb="FF00B050"/>
      <name val="Calibri"/>
    </font>
    <font>
      <b val="0"/>
      <i val="0"/>
      <strike val="0"/>
      <u val="none"/>
      <sz val="10.0"/>
      <color rgb="FF000000"/>
      <name val="Arial"/>
    </font>
    <font>
      <b/>
      <i val="0"/>
      <strike val="0"/>
      <u val="none"/>
      <sz val="11.0"/>
      <color rgb="FF00B050"/>
      <name val="Calibri"/>
    </font>
    <font>
      <b/>
      <i val="0"/>
      <strike val="0"/>
      <u val="none"/>
      <sz val="11.0"/>
      <color rgb="FF000000"/>
      <name val="Calibri"/>
    </font>
    <font>
      <b val="0"/>
      <i val="0"/>
      <strike val="0"/>
      <u/>
      <sz val="10.0"/>
      <color rgb="FF0000FF"/>
      <name val="Arial"/>
    </font>
    <font>
      <b/>
      <i val="0"/>
      <strike val="0"/>
      <u val="none"/>
      <sz val="11.0"/>
      <color rgb="FF000000"/>
      <name val="Calibri"/>
    </font>
    <font>
      <b/>
      <i val="0"/>
      <strike val="0"/>
      <u val="none"/>
      <sz val="11.0"/>
      <color rgb="FF00B050"/>
      <name val="Calibri"/>
    </font>
    <font>
      <b val="0"/>
      <i val="0"/>
      <strike val="0"/>
      <u val="none"/>
      <sz val="10.0"/>
      <color rgb="FF000000"/>
      <name val="Arial"/>
    </font>
    <font>
      <b/>
      <i val="0"/>
      <strike val="0"/>
      <u val="none"/>
      <sz val="11.0"/>
      <color rgb="FF000000"/>
      <name val="Calibri"/>
    </font>
    <font>
      <b/>
      <i val="0"/>
      <strike val="0"/>
      <u val="none"/>
      <sz val="10.0"/>
      <color rgb="FF000000"/>
      <name val="Arial"/>
    </font>
    <font>
      <b/>
      <i val="0"/>
      <strike val="0"/>
      <u val="none"/>
      <sz val="11.0"/>
      <color rgb="FF000000"/>
      <name val="Calibri"/>
    </font>
    <font>
      <b/>
      <i val="0"/>
      <strike val="0"/>
      <u val="none"/>
      <sz val="11.0"/>
      <color rgb="FF00B050"/>
      <name val="Calibri"/>
    </font>
    <font>
      <b/>
      <i val="0"/>
      <strike val="0"/>
      <u val="none"/>
      <sz val="10.0"/>
      <color rgb="FF000000"/>
      <name val="Arial"/>
    </font>
    <font>
      <b val="0"/>
      <i val="0"/>
      <strike val="0"/>
      <u val="none"/>
      <sz val="11.0"/>
      <color rgb="FF000000"/>
      <name val="Calibri"/>
    </font>
    <font>
      <b val="0"/>
      <i val="0"/>
      <strike val="0"/>
      <u val="none"/>
      <sz val="11.0"/>
      <color rgb="FF000000"/>
      <name val="Calibri"/>
    </font>
    <font>
      <b val="0"/>
      <i val="0"/>
      <strike val="0"/>
      <u/>
      <sz val="11.0"/>
      <color rgb="FF0000FF"/>
      <name val="Calibri"/>
    </font>
    <font>
      <b/>
      <i val="0"/>
      <strike val="0"/>
      <u val="none"/>
      <sz val="11.0"/>
      <color rgb="FF000000"/>
      <name val="Calibri"/>
    </font>
    <font>
      <b val="0"/>
      <i val="0"/>
      <strike val="0"/>
      <u val="none"/>
      <sz val="11.0"/>
      <color rgb="FF000000"/>
      <name val="Calibri"/>
    </font>
    <font>
      <b val="0"/>
      <i val="0"/>
      <strike val="0"/>
      <u val="none"/>
      <sz val="11.0"/>
      <color rgb="FF000000"/>
      <name val="Calibri"/>
    </font>
    <font>
      <b/>
      <i val="0"/>
      <strike val="0"/>
      <u val="none"/>
      <sz val="11.0"/>
      <color rgb="FF000000"/>
      <name val="Calibri"/>
    </font>
    <font>
      <b/>
      <i val="0"/>
      <strike val="0"/>
      <u val="none"/>
      <sz val="10.0"/>
      <color rgb="FF000000"/>
      <name val="Arial"/>
    </font>
    <font>
      <b/>
      <i val="0"/>
      <strike val="0"/>
      <u val="none"/>
      <sz val="11.0"/>
      <color rgb="FF00B050"/>
      <name val="Calibri"/>
    </font>
    <font>
      <b/>
      <i val="0"/>
      <strike val="0"/>
      <u val="none"/>
      <sz val="10.0"/>
      <color rgb="FF000000"/>
      <name val="Arial"/>
    </font>
    <font>
      <b val="0"/>
      <i val="0"/>
      <strike val="0"/>
      <u val="none"/>
      <sz val="10.0"/>
      <color rgb="FF000000"/>
      <name val="Arial"/>
    </font>
    <font>
      <b/>
      <i val="0"/>
      <strike val="0"/>
      <u val="none"/>
      <sz val="11.0"/>
      <color rgb="FF000000"/>
      <name val="Calibri"/>
    </font>
    <font>
      <b/>
      <i val="0"/>
      <strike val="0"/>
      <u val="none"/>
      <sz val="11.0"/>
      <color rgb="FF00B050"/>
      <name val="Calibri"/>
    </font>
    <font>
      <b val="0"/>
      <i val="0"/>
      <strike val="0"/>
      <u val="none"/>
      <sz val="11.0"/>
      <color rgb="FF000000"/>
      <name val="Calibri"/>
    </font>
    <font>
      <b val="0"/>
      <i val="0"/>
      <strike val="0"/>
      <u val="none"/>
      <sz val="11.0"/>
      <color rgb="FF000000"/>
      <name val="Calibri"/>
    </font>
  </fonts>
  <fills count="26">
    <fill>
      <patternFill patternType="none"/>
    </fill>
    <fill>
      <patternFill patternType="gray125">
        <bgColor rgb="FFFFFFFF"/>
      </patternFill>
    </fill>
    <fill>
      <patternFill patternType="solid">
        <fgColor rgb="FFD8D8D8"/>
        <bgColor indexed="64"/>
      </patternFill>
    </fill>
    <fill>
      <patternFill patternType="solid">
        <fgColor rgb="FFE5B8B7"/>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DDDDD"/>
        <bgColor indexed="64"/>
      </patternFill>
    </fill>
    <fill>
      <patternFill patternType="solid">
        <fgColor rgb="FFD8D8D8"/>
        <bgColor indexed="64"/>
      </patternFill>
    </fill>
    <fill>
      <patternFill patternType="solid">
        <fgColor rgb="FFE5B8B7"/>
        <bgColor indexed="64"/>
      </patternFill>
    </fill>
    <fill>
      <patternFill patternType="solid">
        <fgColor rgb="FFEEEEEE"/>
        <bgColor indexed="64"/>
      </patternFill>
    </fill>
    <fill>
      <patternFill patternType="solid">
        <fgColor rgb="FFE5B8B7"/>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E5B8B7"/>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E5B8B7"/>
        <bgColor indexed="64"/>
      </patternFill>
    </fill>
    <fill>
      <patternFill patternType="solid">
        <fgColor rgb="FFD8D8D8"/>
        <bgColor indexed="64"/>
      </patternFill>
    </fill>
    <fill>
      <patternFill patternType="solid">
        <fgColor rgb="FFD8D8D8"/>
        <bgColor indexed="64"/>
      </patternFill>
    </fill>
  </fills>
  <borders count="70">
    <border>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fillId="0" numFmtId="0" borderId="0" fontId="0"/>
  </cellStyleXfs>
  <cellXfs count="91">
    <xf applyAlignment="1" fillId="0" xfId="0" numFmtId="0" borderId="0" fontId="0">
      <alignment vertical="bottom" horizontal="general" wrapText="1"/>
    </xf>
    <xf applyBorder="1" fillId="2" xfId="0" numFmtId="0" borderId="1" applyFont="1" fontId="1" applyFill="1"/>
    <xf fillId="3" xfId="0" numFmtId="164" borderId="0" applyFont="1" fontId="2" applyNumberFormat="1" applyFill="1"/>
    <xf applyBorder="1" fillId="0" xfId="0" numFmtId="0" borderId="2" applyFont="1" fontId="3"/>
    <xf fillId="0" xfId="0" numFmtId="0" borderId="0" applyFont="1" fontId="4"/>
    <xf applyBorder="1" fillId="4" xfId="0" numFmtId="0" borderId="3" applyFont="1" fontId="5" applyFill="1"/>
    <xf applyBorder="1" fillId="0" xfId="0" numFmtId="165" borderId="4" applyFont="1" fontId="6" applyNumberFormat="1"/>
    <xf fillId="0" xfId="0" numFmtId="0" borderId="0" applyFont="1" fontId="7"/>
    <xf applyBorder="1" applyAlignment="1" fillId="0" xfId="0" numFmtId="0" borderId="5" fontId="0">
      <alignment vertical="bottom" horizontal="general" wrapText="1"/>
    </xf>
    <xf fillId="5" xfId="0" numFmtId="0" borderId="0" applyFont="1" fontId="8" applyFill="1"/>
    <xf applyBorder="1" fillId="0" xfId="0" numFmtId="0" borderId="6" applyFont="1" fontId="9"/>
    <xf applyBorder="1" applyAlignment="1" fillId="0" xfId="0" numFmtId="0" borderId="7" fontId="0">
      <alignment vertical="bottom" horizontal="general" wrapText="1"/>
    </xf>
    <xf applyAlignment="1" fillId="0" xfId="0" numFmtId="0" borderId="0" applyFont="1" fontId="10">
      <alignment vertical="bottom" horizontal="general" wrapText="1"/>
    </xf>
    <xf applyBorder="1" applyAlignment="1" fillId="0" xfId="0" numFmtId="0" borderId="8" fontId="0">
      <alignment vertical="bottom" horizontal="general" wrapText="1"/>
    </xf>
    <xf applyBorder="1" fillId="6" xfId="0" numFmtId="0" borderId="9" applyFont="1" fontId="11" applyFill="1"/>
    <xf applyBorder="1" applyAlignment="1" fillId="7" xfId="0" numFmtId="0" borderId="10" applyFont="1" fontId="12" applyFill="1">
      <alignment vertical="bottom" horizontal="left"/>
    </xf>
    <xf applyBorder="1" fillId="8" xfId="0" numFmtId="166" borderId="11" applyFont="1" fontId="13" applyNumberFormat="1" applyFill="1"/>
    <xf applyBorder="1" applyAlignment="1" fillId="0" xfId="0" numFmtId="167" borderId="12" applyFont="1" fontId="14" applyNumberFormat="1">
      <alignment vertical="bottom" horizontal="right"/>
    </xf>
    <xf applyBorder="1" applyAlignment="1" fillId="0" xfId="0" numFmtId="168" borderId="13" applyFont="1" fontId="15" applyNumberFormat="1">
      <alignment vertical="bottom" horizontal="right"/>
    </xf>
    <xf applyBorder="1" fillId="0" xfId="0" numFmtId="0" borderId="14" applyFont="1" fontId="16"/>
    <xf applyBorder="1" fillId="0" xfId="0" numFmtId="0" borderId="15" applyFont="1" fontId="17"/>
    <xf applyAlignment="1" fillId="0" xfId="0" numFmtId="0" borderId="0" applyFont="1" fontId="18">
      <alignment vertical="bottom" horizontal="general" wrapText="1"/>
    </xf>
    <xf fillId="9" xfId="0" numFmtId="169" borderId="0" applyFont="1" fontId="19" applyNumberFormat="1" applyFill="1"/>
    <xf fillId="0" xfId="0" numFmtId="170" borderId="0" applyFont="1" fontId="20" applyNumberFormat="1"/>
    <xf applyAlignment="1" fillId="10" xfId="0" numFmtId="0" borderId="0" applyFont="1" fontId="21" applyFill="1">
      <alignment vertical="bottom" horizontal="center" wrapText="1"/>
    </xf>
    <xf applyBorder="1" applyAlignment="1" fillId="0" xfId="0" numFmtId="0" borderId="16" fontId="0">
      <alignment vertical="bottom" horizontal="general" wrapText="1"/>
    </xf>
    <xf fillId="0" xfId="0" numFmtId="171" borderId="0" applyFont="1" fontId="22" applyNumberFormat="1"/>
    <xf applyBorder="1" fillId="0" xfId="0" numFmtId="0" borderId="17" applyFont="1" fontId="23"/>
    <xf applyBorder="1" fillId="0" xfId="0" numFmtId="0" borderId="18" applyFont="1" fontId="24"/>
    <xf applyBorder="1" applyAlignment="1" fillId="11" xfId="0" numFmtId="0" borderId="19" applyFont="1" fontId="25" applyFill="1">
      <alignment vertical="bottom" horizontal="center"/>
    </xf>
    <xf applyAlignment="1" fillId="0" xfId="0" numFmtId="0" borderId="0" applyFont="1" fontId="26">
      <alignment vertical="bottom" horizontal="general" wrapText="1"/>
    </xf>
    <xf fillId="12" xfId="0" numFmtId="172" borderId="0" applyFont="1" fontId="27" applyNumberFormat="1" applyFill="1"/>
    <xf applyBorder="1" applyAlignment="1" fillId="0" xfId="0" numFmtId="173" borderId="20" applyFont="1" fontId="28" applyNumberFormat="1">
      <alignment vertical="bottom" horizontal="right"/>
    </xf>
    <xf applyBorder="1" applyAlignment="1" fillId="0" xfId="0" numFmtId="0" borderId="21" fontId="0">
      <alignment vertical="bottom" horizontal="general" wrapText="1"/>
    </xf>
    <xf applyBorder="1" fillId="0" xfId="0" numFmtId="0" borderId="22" applyFont="1" fontId="29"/>
    <xf applyBorder="1" fillId="0" xfId="0" numFmtId="0" borderId="23" applyFont="1" fontId="30"/>
    <xf applyAlignment="1" fillId="13" xfId="0" numFmtId="0" borderId="0" fontId="0" applyFill="1">
      <alignment vertical="bottom" horizontal="general" wrapText="1"/>
    </xf>
    <xf applyBorder="1" fillId="0" xfId="0" numFmtId="174" borderId="24" applyFont="1" fontId="31" applyNumberFormat="1"/>
    <xf applyBorder="1" fillId="0" xfId="0" numFmtId="175" borderId="25" applyFont="1" fontId="32" applyNumberFormat="1"/>
    <xf applyAlignment="1" fillId="14" xfId="0" numFmtId="0" borderId="0" applyFont="1" fontId="33" applyFill="1">
      <alignment vertical="bottom" horizontal="general" wrapText="1" readingOrder="1"/>
    </xf>
    <xf applyBorder="1" fillId="0" xfId="0" numFmtId="176" borderId="26" applyFont="1" fontId="34" applyNumberFormat="1"/>
    <xf applyBorder="1" fillId="15" xfId="0" numFmtId="177" borderId="27" applyFont="1" fontId="35" applyNumberFormat="1" applyFill="1"/>
    <xf applyBorder="1" fillId="0" xfId="0" numFmtId="0" borderId="28" applyFont="1" fontId="36"/>
    <xf applyBorder="1" applyAlignment="1" fillId="0" xfId="0" numFmtId="178" borderId="29" applyFont="1" fontId="37" applyNumberFormat="1">
      <alignment vertical="bottom" horizontal="right"/>
    </xf>
    <xf applyBorder="1" fillId="0" xfId="0" numFmtId="0" borderId="30" applyFont="1" fontId="38"/>
    <xf applyBorder="1" fillId="0" xfId="0" numFmtId="0" borderId="31" applyFont="1" fontId="39"/>
    <xf applyBorder="1" fillId="0" xfId="0" numFmtId="179" borderId="32" applyFont="1" fontId="40" applyNumberFormat="1"/>
    <xf applyBorder="1" fillId="0" xfId="0" numFmtId="0" borderId="33" applyFont="1" fontId="41"/>
    <xf applyAlignment="1" fillId="0" xfId="0" numFmtId="0" borderId="0" applyFont="1" fontId="42">
      <alignment vertical="top" horizontal="left"/>
    </xf>
    <xf applyBorder="1" fillId="0" xfId="0" numFmtId="0" borderId="34" applyFont="1" fontId="43"/>
    <xf applyBorder="1" applyAlignment="1" fillId="0" xfId="0" numFmtId="0" borderId="35" fontId="0">
      <alignment vertical="bottom" horizontal="general" wrapText="1"/>
    </xf>
    <xf applyBorder="1" fillId="0" xfId="0" numFmtId="180" borderId="36" applyFont="1" fontId="44" applyNumberFormat="1"/>
    <xf fillId="0" xfId="0" numFmtId="0" borderId="0" applyFont="1" fontId="45"/>
    <xf applyBorder="1" fillId="16" xfId="0" numFmtId="181" borderId="37" applyFont="1" fontId="46" applyNumberFormat="1" applyFill="1"/>
    <xf applyBorder="1" fillId="17" xfId="0" numFmtId="0" borderId="38" applyFont="1" fontId="47" applyFill="1"/>
    <xf applyBorder="1" fillId="0" xfId="0" numFmtId="182" borderId="39" applyFont="1" fontId="48" applyNumberFormat="1"/>
    <xf applyBorder="1" fillId="0" xfId="0" numFmtId="0" borderId="40" applyFont="1" fontId="49"/>
    <xf applyBorder="1" applyAlignment="1" fillId="0" xfId="0" numFmtId="183" borderId="41" applyFont="1" fontId="50" applyNumberFormat="1">
      <alignment vertical="bottom" horizontal="right"/>
    </xf>
    <xf applyBorder="1" fillId="0" xfId="0" numFmtId="0" borderId="42" applyFont="1" fontId="51"/>
    <xf applyBorder="1" fillId="0" xfId="0" numFmtId="0" borderId="43" applyFont="1" fontId="52"/>
    <xf applyBorder="1" fillId="0" xfId="0" numFmtId="0" borderId="44" applyFont="1" fontId="53"/>
    <xf applyBorder="1" fillId="0" xfId="0" numFmtId="0" borderId="45" applyFont="1" fontId="54"/>
    <xf applyBorder="1" applyAlignment="1" fillId="0" xfId="0" numFmtId="0" borderId="46" fontId="0">
      <alignment vertical="bottom" horizontal="general" wrapText="1"/>
    </xf>
    <xf applyBorder="1" applyAlignment="1" fillId="0" xfId="0" numFmtId="0" borderId="47" fontId="0">
      <alignment vertical="bottom" horizontal="general" wrapText="1"/>
    </xf>
    <xf applyBorder="1" fillId="0" xfId="0" numFmtId="184" borderId="48" applyFont="1" fontId="55" applyNumberFormat="1"/>
    <xf applyAlignment="1" fillId="0" xfId="0" numFmtId="0" borderId="0" applyFont="1" fontId="56">
      <alignment vertical="bottom" horizontal="general" wrapText="1" readingOrder="1"/>
    </xf>
    <xf applyBorder="1" fillId="18" xfId="0" numFmtId="0" borderId="49" applyFont="1" fontId="57" applyFill="1"/>
    <xf applyBorder="1" fillId="0" xfId="0" numFmtId="185" borderId="50" applyFont="1" fontId="58" applyNumberFormat="1"/>
    <xf fillId="19" xfId="0" numFmtId="0" borderId="0" applyFont="1" fontId="59" applyFill="1"/>
    <xf applyBorder="1" fillId="0" xfId="0" numFmtId="0" borderId="51" applyFont="1" fontId="60"/>
    <xf applyBorder="1" applyAlignment="1" fillId="20" xfId="0" numFmtId="0" borderId="52" applyFont="1" fontId="61" applyFill="1">
      <alignment vertical="bottom" horizontal="center"/>
    </xf>
    <xf applyBorder="1" fillId="0" xfId="0" numFmtId="186" borderId="53" applyFont="1" fontId="62" applyNumberFormat="1"/>
    <xf applyBorder="1" fillId="0" xfId="0" numFmtId="187" borderId="54" applyFont="1" fontId="63" applyNumberFormat="1"/>
    <xf applyBorder="1" fillId="21" xfId="0" numFmtId="0" borderId="55" applyFont="1" fontId="64" applyFill="1"/>
    <xf applyBorder="1" fillId="0" xfId="0" numFmtId="188" borderId="56" applyFont="1" fontId="65" applyNumberFormat="1"/>
    <xf applyBorder="1" fillId="0" xfId="0" numFmtId="189" borderId="57" applyFont="1" fontId="66" applyNumberFormat="1"/>
    <xf applyAlignment="1" fillId="0" xfId="0" numFmtId="0" borderId="0" applyFont="1" fontId="67">
      <alignment vertical="bottom" horizontal="general" wrapText="1"/>
    </xf>
    <xf applyBorder="1" fillId="22" xfId="0" numFmtId="0" borderId="58" applyFont="1" fontId="68" applyFill="1"/>
    <xf applyBorder="1" fillId="0" xfId="0" numFmtId="0" borderId="59" applyFont="1" fontId="69"/>
    <xf applyBorder="1" fillId="0" xfId="0" numFmtId="0" borderId="60" applyFont="1" fontId="70"/>
    <xf applyBorder="1" fillId="0" xfId="0" numFmtId="0" borderId="61" applyFont="1" fontId="71"/>
    <xf applyAlignment="1" fillId="23" xfId="0" numFmtId="0" borderId="0" fontId="0" applyFill="1">
      <alignment vertical="bottom" horizontal="general" wrapText="1"/>
    </xf>
    <xf applyAlignment="1" fillId="24" xfId="0" numFmtId="0" borderId="0" applyFont="1" fontId="72" applyFill="1">
      <alignment vertical="center" horizontal="general"/>
    </xf>
    <xf applyBorder="1" fillId="0" xfId="0" numFmtId="0" borderId="62" applyFont="1" fontId="73"/>
    <xf applyBorder="1" fillId="25" xfId="0" numFmtId="190" borderId="63" applyFont="1" fontId="74" applyNumberFormat="1" applyFill="1"/>
    <xf applyBorder="1" fillId="0" xfId="0" numFmtId="0" borderId="64" applyFont="1" fontId="75"/>
    <xf applyBorder="1" fillId="0" xfId="0" numFmtId="191" borderId="65" applyFont="1" fontId="76" applyNumberFormat="1"/>
    <xf applyBorder="1" fillId="0" xfId="0" numFmtId="192" borderId="66" applyFont="1" fontId="77" applyNumberFormat="1"/>
    <xf applyBorder="1" applyAlignment="1" fillId="0" xfId="0" numFmtId="0" borderId="67" fontId="0">
      <alignment vertical="bottom" horizontal="general" wrapText="1"/>
    </xf>
    <xf applyBorder="1" fillId="0" xfId="0" numFmtId="193" borderId="68" applyFont="1" fontId="78" applyNumberFormat="1"/>
    <xf applyBorder="1" fillId="0" xfId="0" numFmtId="0" borderId="69" applyFont="1" fontId="79"/>
  </cellXfs>
  <cellStyles count="1">
    <cellStyle builtinId="0" name="Normal" xfId="0"/>
  </cellStyles>
  <dxfs count="1">
    <dxf>
      <font>
        <color rgb="FF000000"/>
      </font>
      <fill>
        <patternFill patternType="solid">
          <bgColor rgb="FFC00000"/>
        </patternFill>
      </fill>
    </dxf>
  </dxf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3.xml" Type="http://schemas.openxmlformats.org/officeDocument/2006/relationships/worksheet" Id="rId5"/></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86" defaultRowHeight="15.0"/>
  <cols>
    <col min="1" customWidth="1" max="1" width="14.71"/>
    <col min="2" customWidth="1" max="2" width="21.0"/>
    <col min="3" customWidth="1" max="3" width="4.57"/>
    <col min="12" customWidth="1" max="13" width="6.14"/>
    <col min="14" customWidth="1" max="14" style="52" width="5.71"/>
    <col min="15" customWidth="1" max="16" width="6.14"/>
    <col min="17" customWidth="1" max="17" style="52" width="5.71"/>
    <col min="18" customWidth="1" max="18" hidden="1" width="25.29"/>
    <col min="19" customWidth="1" max="19" hidden="1" width="26.14"/>
  </cols>
  <sheetData>
    <row r="1">
      <c s="14" r="A1"/>
      <c s="77" r="B1"/>
      <c s="14" r="C1"/>
      <c t="s" s="29" r="D1">
        <v>0</v>
      </c>
      <c s="29" r="E1"/>
      <c t="s" s="29" r="F1">
        <v>1</v>
      </c>
      <c s="29" r="G1"/>
      <c t="s" s="29" r="H1">
        <v>2</v>
      </c>
      <c s="29" r="I1"/>
      <c t="s" s="29" r="J1">
        <v>3</v>
      </c>
      <c s="29" r="K1"/>
      <c t="s" s="29" r="L1">
        <v>4</v>
      </c>
      <c s="29" r="M1"/>
      <c s="29" r="N1"/>
      <c t="s" s="29" r="O1">
        <v>5</v>
      </c>
      <c s="29" r="P1"/>
      <c s="29" r="Q1"/>
      <c s="63" r="R1"/>
      <c s="88" r="S1"/>
    </row>
    <row customHeight="1" r="2" ht="15.75">
      <c t="s" s="70" r="A2">
        <v>6</v>
      </c>
      <c t="s" s="54" r="B2">
        <v>7</v>
      </c>
      <c t="s" s="15" r="C2">
        <v>8</v>
      </c>
      <c t="s" s="53" r="D2">
        <v>9</v>
      </c>
      <c t="s" s="84" r="E2">
        <v>10</v>
      </c>
      <c t="s" s="53" r="F2">
        <v>9</v>
      </c>
      <c t="s" s="84" r="G2">
        <v>10</v>
      </c>
      <c t="s" s="53" r="H2">
        <v>9</v>
      </c>
      <c t="s" s="16" r="I2">
        <v>10</v>
      </c>
      <c t="s" s="41" r="J2">
        <v>9</v>
      </c>
      <c t="s" s="16" r="K2">
        <v>10</v>
      </c>
      <c t="s" s="5" r="L2">
        <v>11</v>
      </c>
      <c t="s" s="66" r="M2">
        <v>12</v>
      </c>
      <c t="s" s="54" r="N2">
        <v>3</v>
      </c>
      <c t="s" s="5" r="O2">
        <v>11</v>
      </c>
      <c t="s" s="66" r="P2">
        <v>12</v>
      </c>
      <c t="s" s="1" r="Q2">
        <v>3</v>
      </c>
      <c s="25" r="R2"/>
      <c s="8" r="S2"/>
    </row>
    <row r="3">
      <c t="s" s="85" r="A3">
        <v>13</v>
      </c>
      <c t="s" s="28" r="B3">
        <v>14</v>
      </c>
      <c s="90" r="C3">
        <f>COUNTIF(Rosters!E:E,Finances!B3)</f>
        <v>28</v>
      </c>
      <c s="89" r="D3">
        <v>475.1</v>
      </c>
      <c t="s" s="74" r="E3">
        <v>15</v>
      </c>
      <c s="57" r="F3">
        <f>SUMIF(Rosters!E:E,Finances!B3,Rosters!P:P)</f>
        <v>0</v>
      </c>
      <c s="43" r="G3">
        <f>SUMIF(Rosters!E:E,Finances!B3,Rosters!R:R)</f>
        <v>0</v>
      </c>
      <c s="72" r="H3">
        <f>SUMIF(Rosters!F:F,Finances!B3,Rosters!P:P)</f>
        <v>0</v>
      </c>
      <c s="51" r="I3">
        <f>SUMIF(Rosters!F:F,Finances!B3,Rosters!R:R)</f>
        <v>0</v>
      </c>
      <c s="40" r="J3">
        <f>(D3-F3)+H3</f>
        <v>475.1</v>
      </c>
      <c s="46" r="K3">
        <f>(E3-G3)+I3</f>
        <v>2.067</v>
      </c>
      <c s="83" r="L3">
        <v>20</v>
      </c>
      <c s="19" r="M3">
        <f>countif(Rosters!S:S,R3)</f>
        <v>0</v>
      </c>
      <c s="27" r="N3">
        <f>L3-M3</f>
        <v>20</v>
      </c>
      <c s="83" r="O3">
        <v>5</v>
      </c>
      <c s="10" r="P3">
        <f>countif(Rosters!S:S,S3)</f>
        <v>0</v>
      </c>
      <c s="44" r="Q3">
        <f>O3-P3</f>
        <v>5</v>
      </c>
      <c t="s" s="50" r="R3">
        <v>16</v>
      </c>
      <c t="s" s="11" r="S3">
        <v>17</v>
      </c>
    </row>
    <row r="4">
      <c t="s" s="60" r="A4">
        <v>18</v>
      </c>
      <c t="s" s="3" r="B4">
        <v>19</v>
      </c>
      <c s="56" r="C4">
        <f>COUNTIF(Rosters!E:E,Finances!B4)</f>
        <v>33</v>
      </c>
      <c s="38" r="D4">
        <v>59.7000000000001</v>
      </c>
      <c t="s" s="37" r="E4">
        <v>20</v>
      </c>
      <c s="32" r="F4">
        <f>SUMIF(Rosters!E:E,Finances!B4,Rosters!P:P)</f>
        <v>0</v>
      </c>
      <c s="18" r="G4">
        <f>SUMIF(Rosters!E:E,Finances!B4,Rosters!R:R)</f>
        <v>0</v>
      </c>
      <c s="55" r="H4">
        <f>SUMIF(Rosters!F:F,Finances!B4,Rosters!P:P)</f>
        <v>0</v>
      </c>
      <c s="67" r="I4">
        <f>SUMIF(Rosters!F:F,Finances!B4,Rosters!R:R)</f>
        <v>0</v>
      </c>
      <c s="86" r="J4">
        <f>(D4-F4)+H4</f>
        <v>59.7000000000001</v>
      </c>
      <c s="64" r="K4">
        <f>(E4-G4)+I4</f>
        <v>0.26</v>
      </c>
      <c s="59" r="L4">
        <v>4</v>
      </c>
      <c s="35" r="M4">
        <f>countif(Rosters!S:S,R4)</f>
        <v>0</v>
      </c>
      <c s="80" r="N4">
        <f>L4-M4</f>
        <v>4</v>
      </c>
      <c s="59" r="O4">
        <v>1</v>
      </c>
      <c s="19" r="P4">
        <f>countif(Rosters!S:S,S4)</f>
        <v>0</v>
      </c>
      <c s="69" r="Q4">
        <f>O4-P4</f>
        <v>1</v>
      </c>
      <c t="s" s="33" r="R4">
        <v>21</v>
      </c>
      <c t="s" s="62" r="S4">
        <v>22</v>
      </c>
    </row>
    <row r="5">
      <c t="s" s="60" r="A5">
        <v>23</v>
      </c>
      <c t="s" s="47" r="B5">
        <v>24</v>
      </c>
      <c s="56" r="C5">
        <f>COUNTIF(Rosters!E:E,Finances!B5)</f>
        <v>33</v>
      </c>
      <c s="38" r="D5">
        <v>309.6</v>
      </c>
      <c t="s" s="37" r="E5">
        <v>25</v>
      </c>
      <c s="32" r="F5">
        <f>SUMIF(Rosters!E:E,Finances!B5,Rosters!P:P)</f>
        <v>0</v>
      </c>
      <c s="18" r="G5">
        <f>SUMIF(Rosters!E:E,Finances!B5,Rosters!R:R)</f>
        <v>0</v>
      </c>
      <c s="55" r="H5">
        <f>SUMIF(Rosters!F:F,Finances!B5,Rosters!P:P)</f>
        <v>0</v>
      </c>
      <c s="67" r="I5">
        <f>SUMIF(Rosters!F:F,Finances!B5,Rosters!R:R)</f>
        <v>0</v>
      </c>
      <c s="86" r="J5">
        <f>(D5-F5)+H5</f>
        <v>309.6</v>
      </c>
      <c s="64" r="K5">
        <f>(E5-G5)+I5</f>
        <v>1.347</v>
      </c>
      <c s="59" r="L5">
        <v>13</v>
      </c>
      <c s="35" r="M5">
        <f>countif(Rosters!S:S,R5)</f>
        <v>0</v>
      </c>
      <c s="80" r="N5">
        <f>L5-M5</f>
        <v>13</v>
      </c>
      <c s="59" r="O5">
        <v>2</v>
      </c>
      <c s="35" r="P5">
        <f>countif(Rosters!S:S,S5)</f>
        <v>0</v>
      </c>
      <c s="69" r="Q5">
        <f>O5-P5</f>
        <v>2</v>
      </c>
      <c t="s" s="33" r="R5">
        <v>26</v>
      </c>
      <c t="s" s="62" r="S5">
        <v>27</v>
      </c>
    </row>
    <row r="6">
      <c t="s" s="60" r="A6">
        <v>28</v>
      </c>
      <c t="s" s="3" r="B6">
        <v>29</v>
      </c>
      <c s="56" r="C6">
        <f>COUNTIF(Rosters!E:E,Finances!B6)</f>
        <v>33</v>
      </c>
      <c s="38" r="D6">
        <v>243.9</v>
      </c>
      <c t="s" s="37" r="E6">
        <v>30</v>
      </c>
      <c s="32" r="F6">
        <f>SUMIF(Rosters!E:E,Finances!B6,Rosters!P:P)</f>
        <v>0</v>
      </c>
      <c s="18" r="G6">
        <f>SUMIF(Rosters!E:E,Finances!B6,Rosters!R:R)</f>
        <v>0</v>
      </c>
      <c s="55" r="H6">
        <f>SUMIF(Rosters!F:F,Finances!B6,Rosters!P:P)</f>
        <v>0</v>
      </c>
      <c s="67" r="I6">
        <f>SUMIF(Rosters!F:F,Finances!B6,Rosters!R:R)</f>
        <v>0</v>
      </c>
      <c s="86" r="J6">
        <f>(D6-F6)+H6</f>
        <v>243.9</v>
      </c>
      <c s="64" r="K6">
        <f>(E6-G6)+I6</f>
        <v>1.061</v>
      </c>
      <c s="59" r="L6">
        <v>10</v>
      </c>
      <c s="35" r="M6">
        <f>countif(Rosters!S:S,R6)</f>
        <v>0</v>
      </c>
      <c s="80" r="N6">
        <f>L6-M6</f>
        <v>10</v>
      </c>
      <c s="59" r="O6">
        <v>2</v>
      </c>
      <c s="35" r="P6">
        <f>countif(Rosters!S:S,S6)</f>
        <v>0</v>
      </c>
      <c s="69" r="Q6">
        <f>O6-P6</f>
        <v>2</v>
      </c>
      <c t="s" s="33" r="R6">
        <v>31</v>
      </c>
      <c t="s" s="62" r="S6">
        <v>32</v>
      </c>
    </row>
    <row r="7">
      <c t="s" s="60" r="A7">
        <v>33</v>
      </c>
      <c t="s" s="47" r="B7">
        <v>34</v>
      </c>
      <c s="56" r="C7">
        <f>COUNTIF(Rosters!E:E,Finances!B7)</f>
        <v>29</v>
      </c>
      <c s="38" r="D7">
        <v>322.6</v>
      </c>
      <c t="s" s="37" r="E7">
        <v>35</v>
      </c>
      <c s="32" r="F7">
        <f>SUMIF(Rosters!E:E,Finances!B7,Rosters!P:P)</f>
        <v>0</v>
      </c>
      <c s="18" r="G7">
        <f>SUMIF(Rosters!E:E,Finances!B7,Rosters!R:R)</f>
        <v>0</v>
      </c>
      <c s="55" r="H7">
        <f>SUMIF(Rosters!F:F,Finances!B7,Rosters!P:P)</f>
        <v>0</v>
      </c>
      <c s="67" r="I7">
        <f>SUMIF(Rosters!F:F,Finances!B7,Rosters!R:R)</f>
        <v>0</v>
      </c>
      <c s="86" r="J7">
        <f>(D7-F7)+H7</f>
        <v>322.6</v>
      </c>
      <c s="64" r="K7">
        <f>(E7-G7)+I7</f>
        <v>1.404</v>
      </c>
      <c s="59" r="L7">
        <v>15</v>
      </c>
      <c s="35" r="M7">
        <f>countif(Rosters!S:S,R7)</f>
        <v>0</v>
      </c>
      <c s="80" r="N7">
        <f>L7-M7</f>
        <v>15</v>
      </c>
      <c s="59" r="O7">
        <v>5</v>
      </c>
      <c s="35" r="P7">
        <f>countif(Rosters!S:S,S7)</f>
        <v>0</v>
      </c>
      <c s="69" r="Q7">
        <f>O7-P7</f>
        <v>5</v>
      </c>
      <c t="s" s="33" r="R7">
        <v>36</v>
      </c>
      <c t="s" s="62" r="S7">
        <v>37</v>
      </c>
    </row>
    <row r="8">
      <c t="s" s="60" r="A8">
        <v>38</v>
      </c>
      <c t="s" s="3" r="B8">
        <v>39</v>
      </c>
      <c s="56" r="C8">
        <f>COUNTIF(Rosters!E:E,Finances!B8)</f>
        <v>26</v>
      </c>
      <c s="38" r="D8">
        <v>228.9</v>
      </c>
      <c t="s" s="37" r="E8">
        <v>40</v>
      </c>
      <c s="32" r="F8">
        <f>SUMIF(Rosters!E:E,Finances!B8,Rosters!P:P)</f>
        <v>0</v>
      </c>
      <c s="18" r="G8">
        <f>SUMIF(Rosters!E:E,Finances!B8,Rosters!R:R)</f>
        <v>0</v>
      </c>
      <c s="55" r="H8">
        <f>SUMIF(Rosters!F:F,Finances!B8,Rosters!P:P)</f>
        <v>0</v>
      </c>
      <c s="67" r="I8">
        <f>SUMIF(Rosters!F:F,Finances!B8,Rosters!R:R)</f>
        <v>0</v>
      </c>
      <c s="86" r="J8">
        <f>(D8-F8)+H8</f>
        <v>228.9</v>
      </c>
      <c s="64" r="K8">
        <f>(E8-G8)+I8</f>
        <v>0.996</v>
      </c>
      <c s="59" r="L8">
        <v>10</v>
      </c>
      <c s="35" r="M8">
        <f>countif(Rosters!S:S,R8)</f>
        <v>0</v>
      </c>
      <c s="80" r="N8">
        <f>L8-M8</f>
        <v>10</v>
      </c>
      <c s="59" r="O8">
        <v>5</v>
      </c>
      <c s="35" r="P8">
        <f>countif(Rosters!S:S,S8)</f>
        <v>0</v>
      </c>
      <c s="69" r="Q8">
        <f>O8-P8</f>
        <v>5</v>
      </c>
      <c t="s" s="33" r="R8">
        <v>41</v>
      </c>
      <c t="s" s="62" r="S8">
        <v>42</v>
      </c>
    </row>
    <row r="9">
      <c t="s" s="60" r="A9">
        <v>43</v>
      </c>
      <c t="s" s="3" r="B9">
        <v>44</v>
      </c>
      <c s="56" r="C9">
        <f>COUNTIF(Rosters!E:E,Finances!B9)</f>
        <v>28</v>
      </c>
      <c s="38" r="D9">
        <v>190.5</v>
      </c>
      <c t="s" s="37" r="E9">
        <v>45</v>
      </c>
      <c s="32" r="F9">
        <f>SUMIF(Rosters!E:E,Finances!B9,Rosters!P:P)</f>
        <v>0</v>
      </c>
      <c s="18" r="G9">
        <f>SUMIF(Rosters!E:E,Finances!B9,Rosters!R:R)</f>
        <v>0</v>
      </c>
      <c s="55" r="H9">
        <f>SUMIF(Rosters!F:F,Finances!B9,Rosters!P:P)</f>
        <v>0</v>
      </c>
      <c s="67" r="I9">
        <f>SUMIF(Rosters!F:F,Finances!B9,Rosters!R:R)</f>
        <v>0</v>
      </c>
      <c s="86" r="J9">
        <f>(D9-F9)+H9</f>
        <v>190.5</v>
      </c>
      <c s="64" r="K9">
        <f>(E9-G9)+I9</f>
        <v>0.829</v>
      </c>
      <c s="59" r="L9">
        <v>8</v>
      </c>
      <c s="35" r="M9">
        <f>countif(Rosters!S:S,R9)</f>
        <v>0</v>
      </c>
      <c s="80" r="N9">
        <f>L9-M9</f>
        <v>8</v>
      </c>
      <c s="59" r="O9">
        <v>2</v>
      </c>
      <c s="35" r="P9">
        <f>countif(Rosters!S:S,S9)</f>
        <v>0</v>
      </c>
      <c s="69" r="Q9">
        <f>O9-P9</f>
        <v>2</v>
      </c>
      <c t="s" s="33" r="R9">
        <v>46</v>
      </c>
      <c t="s" s="62" r="S9">
        <v>47</v>
      </c>
    </row>
    <row r="10">
      <c t="s" s="60" r="A10">
        <v>48</v>
      </c>
      <c t="s" s="47" r="B10">
        <v>49</v>
      </c>
      <c s="56" r="C10">
        <f>COUNTIF(Rosters!E:E,Finances!B10)</f>
        <v>25</v>
      </c>
      <c s="38" r="D10">
        <v>35</v>
      </c>
      <c t="s" s="37" r="E10">
        <v>50</v>
      </c>
      <c s="32" r="F10">
        <f>SUMIF(Rosters!E:E,Finances!B10,Rosters!P:P)</f>
        <v>0</v>
      </c>
      <c s="18" r="G10">
        <f>SUMIF(Rosters!E:E,Finances!B10,Rosters!R:R)</f>
        <v>0</v>
      </c>
      <c s="55" r="H10">
        <f>SUMIF(Rosters!F:F,Finances!B10,Rosters!P:P)</f>
        <v>0</v>
      </c>
      <c s="67" r="I10">
        <f>SUMIF(Rosters!F:F,Finances!B10,Rosters!R:R)</f>
        <v>0</v>
      </c>
      <c s="86" r="J10">
        <f>(D10-F10)+H10</f>
        <v>35</v>
      </c>
      <c s="64" r="K10">
        <f>(E10-G10)+I10</f>
        <v>0.152</v>
      </c>
      <c s="59" r="L10">
        <v>3</v>
      </c>
      <c s="35" r="M10">
        <f>countif(Rosters!S:S,R10)</f>
        <v>0</v>
      </c>
      <c s="80" r="N10">
        <f>L10-M10</f>
        <v>3</v>
      </c>
      <c s="59" r="O10">
        <v>1</v>
      </c>
      <c s="35" r="P10">
        <f>countif(Rosters!S:S,S10)</f>
        <v>0</v>
      </c>
      <c s="69" r="Q10">
        <f>O10-P10</f>
        <v>1</v>
      </c>
      <c t="s" s="33" r="R10">
        <v>51</v>
      </c>
      <c t="s" s="62" r="S10">
        <v>52</v>
      </c>
    </row>
    <row r="11">
      <c t="s" s="60" r="A11">
        <v>53</v>
      </c>
      <c t="s" s="47" r="B11">
        <v>54</v>
      </c>
      <c s="56" r="C11">
        <f>COUNTIF(Rosters!E:E,Finances!B11)</f>
        <v>30</v>
      </c>
      <c s="38" r="D11">
        <v>117.3</v>
      </c>
      <c t="s" s="37" r="E11">
        <v>55</v>
      </c>
      <c s="32" r="F11">
        <f>SUMIF(Rosters!E:E,Finances!B11,Rosters!P:P)</f>
        <v>0</v>
      </c>
      <c s="18" r="G11">
        <f>SUMIF(Rosters!E:E,Finances!B11,Rosters!R:R)</f>
        <v>0</v>
      </c>
      <c s="55" r="H11">
        <f>SUMIF(Rosters!F:F,Finances!B11,Rosters!P:P)</f>
        <v>0</v>
      </c>
      <c s="67" r="I11">
        <f>SUMIF(Rosters!F:F,Finances!B11,Rosters!R:R)</f>
        <v>0</v>
      </c>
      <c s="86" r="J11">
        <f>(D11-F11)+H11</f>
        <v>117.3</v>
      </c>
      <c s="64" r="K11">
        <f>(E11-G11)+I11</f>
        <v>0.51</v>
      </c>
      <c s="59" r="L11">
        <v>5</v>
      </c>
      <c s="35" r="M11">
        <f>countif(Rosters!S:S,R11)</f>
        <v>0</v>
      </c>
      <c s="80" r="N11">
        <f>L11-M11</f>
        <v>5</v>
      </c>
      <c s="59" r="O11">
        <v>2</v>
      </c>
      <c s="35" r="P11">
        <f>countif(Rosters!S:S,S11)</f>
        <v>0</v>
      </c>
      <c s="69" r="Q11">
        <f>O11-P11</f>
        <v>2</v>
      </c>
      <c t="s" s="33" r="R11">
        <v>56</v>
      </c>
      <c t="s" s="62" r="S11">
        <v>57</v>
      </c>
    </row>
    <row r="12">
      <c t="s" s="60" r="A12">
        <v>58</v>
      </c>
      <c t="s" s="3" r="B12">
        <v>59</v>
      </c>
      <c s="56" r="C12">
        <f>COUNTIF(Rosters!E:E,Finances!B12)</f>
        <v>28</v>
      </c>
      <c s="38" r="D12">
        <v>127.6</v>
      </c>
      <c t="s" s="37" r="E12">
        <v>60</v>
      </c>
      <c s="32" r="F12">
        <f>SUMIF(Rosters!E:E,Finances!B12,Rosters!P:P)</f>
        <v>0</v>
      </c>
      <c s="18" r="G12">
        <f>SUMIF(Rosters!E:E,Finances!B12,Rosters!R:R)</f>
        <v>0</v>
      </c>
      <c s="55" r="H12">
        <f>SUMIF(Rosters!F:F,Finances!B12,Rosters!P:P)</f>
        <v>0</v>
      </c>
      <c s="67" r="I12">
        <f>SUMIF(Rosters!F:F,Finances!B12,Rosters!R:R)</f>
        <v>0</v>
      </c>
      <c s="86" r="J12">
        <f>(D12-F12)+H12</f>
        <v>127.6</v>
      </c>
      <c s="64" r="K12">
        <f>(E12-G12)+I12</f>
        <v>0.555</v>
      </c>
      <c s="59" r="L12">
        <v>5</v>
      </c>
      <c s="35" r="M12">
        <f>countif(Rosters!S:S,R12)</f>
        <v>0</v>
      </c>
      <c s="80" r="N12">
        <f>L12-M12</f>
        <v>5</v>
      </c>
      <c s="59" r="O12">
        <v>2</v>
      </c>
      <c s="35" r="P12">
        <f>countif(Rosters!S:S,S12)</f>
        <v>0</v>
      </c>
      <c s="69" r="Q12">
        <f>O12-P12</f>
        <v>2</v>
      </c>
      <c t="s" s="33" r="R12">
        <v>61</v>
      </c>
      <c t="s" s="62" r="S12">
        <v>62</v>
      </c>
    </row>
    <row r="13">
      <c t="s" s="60" r="A13">
        <v>63</v>
      </c>
      <c t="s" s="47" r="B13">
        <v>64</v>
      </c>
      <c s="56" r="C13">
        <f>COUNTIF(Rosters!E:E,Finances!B13)</f>
        <v>28</v>
      </c>
      <c s="38" r="D13">
        <v>104.3</v>
      </c>
      <c t="s" s="37" r="E13">
        <v>65</v>
      </c>
      <c s="32" r="F13">
        <f>SUMIF(Rosters!E:E,Finances!B13,Rosters!P:P)</f>
        <v>0</v>
      </c>
      <c s="18" r="G13">
        <f>SUMIF(Rosters!E:E,Finances!B13,Rosters!R:R)</f>
        <v>0</v>
      </c>
      <c s="55" r="H13">
        <f>SUMIF(Rosters!F:F,Finances!B13,Rosters!P:P)</f>
        <v>0</v>
      </c>
      <c s="67" r="I13">
        <f>SUMIF(Rosters!F:F,Finances!B13,Rosters!R:R)</f>
        <v>0</v>
      </c>
      <c s="86" r="J13">
        <f>(D13-F13)+H13</f>
        <v>104.3</v>
      </c>
      <c s="64" r="K13">
        <f>(E13-G13)+I13</f>
        <v>0.454</v>
      </c>
      <c s="59" r="L13">
        <v>5</v>
      </c>
      <c s="35" r="M13">
        <f>countif(Rosters!S:S,R13)</f>
        <v>0</v>
      </c>
      <c s="80" r="N13">
        <f>L13-M13</f>
        <v>5</v>
      </c>
      <c s="59" r="O13">
        <v>2</v>
      </c>
      <c s="35" r="P13">
        <f>countif(Rosters!S:S,S13)</f>
        <v>0</v>
      </c>
      <c s="69" r="Q13">
        <f>O13-P13</f>
        <v>2</v>
      </c>
      <c t="s" s="33" r="R13">
        <v>66</v>
      </c>
      <c t="s" s="62" r="S13">
        <v>67</v>
      </c>
    </row>
    <row r="14">
      <c t="s" s="60" r="A14">
        <v>68</v>
      </c>
      <c t="s" s="47" r="B14">
        <v>69</v>
      </c>
      <c s="56" r="C14">
        <f>COUNTIF(Rosters!E:E,Finances!B14)</f>
        <v>20</v>
      </c>
      <c s="38" r="D14">
        <v>27</v>
      </c>
      <c t="s" s="37" r="E14">
        <v>70</v>
      </c>
      <c s="32" r="F14">
        <f>SUMIF(Rosters!E:E,Finances!B14,Rosters!P:P)</f>
        <v>0</v>
      </c>
      <c s="18" r="G14">
        <f>SUMIF(Rosters!E:E,Finances!B14,Rosters!R:R)</f>
        <v>0</v>
      </c>
      <c s="55" r="H14">
        <f>SUMIF(Rosters!F:F,Finances!B14,Rosters!P:P)</f>
        <v>0</v>
      </c>
      <c s="67" r="I14">
        <f>SUMIF(Rosters!F:F,Finances!B14,Rosters!R:R)</f>
        <v>0</v>
      </c>
      <c s="86" r="J14">
        <f>(D14-F14)+H14</f>
        <v>27</v>
      </c>
      <c s="64" r="K14">
        <f>(E14-G14)+I14</f>
        <v>0.117</v>
      </c>
      <c s="59" r="L14">
        <v>3</v>
      </c>
      <c s="35" r="M14">
        <f>countif(Rosters!S:S,R14)</f>
        <v>0</v>
      </c>
      <c s="80" r="N14">
        <f>L14-M14</f>
        <v>3</v>
      </c>
      <c s="59" r="O14">
        <v>1</v>
      </c>
      <c s="35" r="P14">
        <f>countif(Rosters!S:S,S14)</f>
        <v>0</v>
      </c>
      <c s="69" r="Q14">
        <f>O14-P14</f>
        <v>1</v>
      </c>
      <c t="s" s="33" r="R14">
        <v>71</v>
      </c>
      <c t="s" s="62" r="S14">
        <v>72</v>
      </c>
    </row>
    <row r="15">
      <c t="s" s="60" r="A15">
        <v>73</v>
      </c>
      <c t="s" s="3" r="B15">
        <v>74</v>
      </c>
      <c s="56" r="C15">
        <f>COUNTIF(Rosters!E:E,Finances!B15)</f>
        <v>24</v>
      </c>
      <c s="38" r="D15">
        <v>22.4</v>
      </c>
      <c t="s" s="37" r="E15">
        <v>75</v>
      </c>
      <c s="32" r="F15">
        <f>SUMIF(Rosters!E:E,Finances!B15,Rosters!P:P)</f>
        <v>0</v>
      </c>
      <c s="18" r="G15">
        <f>SUMIF(Rosters!E:E,Finances!B15,Rosters!R:R)</f>
        <v>0</v>
      </c>
      <c s="55" r="H15">
        <f>SUMIF(Rosters!F:F,Finances!B15,Rosters!P:P)</f>
        <v>0</v>
      </c>
      <c s="67" r="I15">
        <f>SUMIF(Rosters!F:F,Finances!B15,Rosters!R:R)</f>
        <v>0</v>
      </c>
      <c s="86" r="J15">
        <f>(D15-F15)+H15</f>
        <v>22.4</v>
      </c>
      <c s="64" r="K15">
        <f>(E15-G15)+I15</f>
        <v>0.097</v>
      </c>
      <c s="59" r="L15">
        <v>3</v>
      </c>
      <c s="35" r="M15">
        <f>countif(Rosters!S:S,R15)</f>
        <v>0</v>
      </c>
      <c s="80" r="N15">
        <f>L15-M15</f>
        <v>3</v>
      </c>
      <c s="59" r="O15">
        <v>1</v>
      </c>
      <c s="35" r="P15">
        <f>countif(Rosters!S:S,S15)</f>
        <v>0</v>
      </c>
      <c s="69" r="Q15">
        <f>O15-P15</f>
        <v>1</v>
      </c>
      <c t="s" s="33" r="R15">
        <v>76</v>
      </c>
      <c t="s" s="62" r="S15">
        <v>77</v>
      </c>
    </row>
    <row r="16">
      <c t="s" s="60" r="A16">
        <v>78</v>
      </c>
      <c t="s" s="47" r="B16">
        <v>79</v>
      </c>
      <c s="56" r="C16">
        <f>COUNTIF(Rosters!E:E,Finances!B16)</f>
        <v>25</v>
      </c>
      <c s="38" r="D16">
        <v>72.5</v>
      </c>
      <c t="s" s="37" r="E16">
        <v>80</v>
      </c>
      <c s="32" r="F16">
        <f>SUMIF(Rosters!E:E,Finances!B16,Rosters!P:P)</f>
        <v>0</v>
      </c>
      <c s="18" r="G16">
        <f>SUMIF(Rosters!E:E,Finances!B16,Rosters!R:R)</f>
        <v>0</v>
      </c>
      <c s="55" r="H16">
        <f>SUMIF(Rosters!F:F,Finances!B16,Rosters!P:P)</f>
        <v>0</v>
      </c>
      <c s="67" r="I16">
        <f>SUMIF(Rosters!F:F,Finances!B16,Rosters!R:R)</f>
        <v>0</v>
      </c>
      <c s="86" r="J16">
        <f>(D16-F16)+H16</f>
        <v>72.5</v>
      </c>
      <c s="64" r="K16">
        <f>(E16-G16)+I16</f>
        <v>0.315</v>
      </c>
      <c s="59" r="L16">
        <v>5</v>
      </c>
      <c s="35" r="M16">
        <f>countif(Rosters!S:S,R16)</f>
        <v>0</v>
      </c>
      <c s="80" r="N16">
        <f>L16-M16</f>
        <v>5</v>
      </c>
      <c s="59" r="O16">
        <v>2</v>
      </c>
      <c s="35" r="P16">
        <f>countif(Rosters!S:S,S16)</f>
        <v>0</v>
      </c>
      <c s="69" r="Q16">
        <f>O16-P16</f>
        <v>2</v>
      </c>
      <c t="s" s="33" r="R16">
        <v>81</v>
      </c>
      <c t="s" s="62" r="S16">
        <v>82</v>
      </c>
    </row>
    <row r="17">
      <c t="s" s="60" r="A17">
        <v>83</v>
      </c>
      <c t="s" s="3" r="B17">
        <v>84</v>
      </c>
      <c s="56" r="C17">
        <f>COUNTIF(Rosters!E:E,Finances!B17)</f>
        <v>27</v>
      </c>
      <c s="38" r="D17">
        <v>16.3</v>
      </c>
      <c t="s" s="37" r="E17">
        <v>85</v>
      </c>
      <c s="32" r="F17">
        <f>SUMIF(Rosters!E:E,Finances!B17,Rosters!P:P)</f>
        <v>0</v>
      </c>
      <c s="18" r="G17">
        <f>SUMIF(Rosters!E:E,Finances!B17,Rosters!R:R)</f>
        <v>0</v>
      </c>
      <c s="55" r="H17">
        <f>SUMIF(Rosters!F:F,Finances!B17,Rosters!P:P)</f>
        <v>0</v>
      </c>
      <c s="67" r="I17">
        <f>SUMIF(Rosters!F:F,Finances!B17,Rosters!R:R)</f>
        <v>0</v>
      </c>
      <c s="86" r="J17">
        <f>(D17-F17)+H17</f>
        <v>16.3</v>
      </c>
      <c s="64" r="K17">
        <f>(E17-G17)+I17</f>
        <v>0.071</v>
      </c>
      <c s="59" r="L17">
        <v>1</v>
      </c>
      <c s="35" r="M17">
        <f>countif(Rosters!S:S,R17)</f>
        <v>0</v>
      </c>
      <c s="80" r="N17">
        <f>L17-M17</f>
        <v>1</v>
      </c>
      <c s="59" r="O17">
        <v>1</v>
      </c>
      <c s="35" r="P17">
        <f>countif(Rosters!S:S,S17)</f>
        <v>0</v>
      </c>
      <c s="69" r="Q17">
        <f>O17-P17</f>
        <v>1</v>
      </c>
      <c t="s" s="33" r="R17">
        <v>86</v>
      </c>
      <c t="s" s="62" r="S17">
        <v>87</v>
      </c>
    </row>
    <row customHeight="1" r="18" ht="15.75">
      <c t="s" s="45" r="A18">
        <v>88</v>
      </c>
      <c t="s" s="79" r="B18">
        <v>89</v>
      </c>
      <c s="56" r="C18">
        <f>COUNTIF(Rosters!E:E,Finances!B18)</f>
        <v>18</v>
      </c>
      <c s="75" r="D18">
        <v>13.6</v>
      </c>
      <c t="s" s="37" r="E18">
        <v>90</v>
      </c>
      <c s="32" r="F18">
        <f>SUMIF(Rosters!E:E,Finances!B18,Rosters!P:P)</f>
        <v>0</v>
      </c>
      <c s="17" r="G18">
        <f>SUMIF(Rosters!E:E,Finances!B18,Rosters!R:R)</f>
        <v>0</v>
      </c>
      <c s="55" r="H18">
        <f>SUMIF(Rosters!F:F,Finances!B18,Rosters!P:P)</f>
        <v>0</v>
      </c>
      <c s="87" r="I18">
        <f>SUMIF(Rosters!F:F,Finances!B18,Rosters!R:R)</f>
        <v>0</v>
      </c>
      <c s="71" r="J18">
        <f>(D18-F18)+H18</f>
        <v>13.6</v>
      </c>
      <c s="6" r="K18">
        <f>(E18-G18)+I18</f>
        <v>0.059</v>
      </c>
      <c s="61" r="L18">
        <v>1</v>
      </c>
      <c s="35" r="M18">
        <f>countif(Rosters!S:S,R18)</f>
        <v>0</v>
      </c>
      <c s="49" r="N18">
        <f>L18-M18</f>
        <v>1</v>
      </c>
      <c s="61" r="O18">
        <v>1</v>
      </c>
      <c s="35" r="P18">
        <f>countif(Rosters!S:S,S18)</f>
        <v>0</v>
      </c>
      <c s="58" r="Q18">
        <f>O18-P18</f>
        <v>1</v>
      </c>
      <c t="s" s="25" r="R18">
        <v>91</v>
      </c>
      <c t="s" s="8" r="S18">
        <v>67</v>
      </c>
    </row>
  </sheetData>
  <mergeCells count="6">
    <mergeCell ref="D1:E1"/>
    <mergeCell ref="F1:G1"/>
    <mergeCell ref="H1:I1"/>
    <mergeCell ref="J1:K1"/>
    <mergeCell ref="L1:N1"/>
    <mergeCell ref="O1:Q1"/>
  </mergeCells>
  <conditionalFormatting sqref="C3 C4 C5 C6 C7 C8 C9 C10 C11 C12 C13 C14 C15 C16 C17 C18">
    <cfRule priority="1" type="cellIs" operator="lessThan" stopIfTrue="1" dxfId="0">
      <formula>17</formula>
    </cfRule>
    <cfRule priority="2" type="cellIs" operator="greaterThan" stopIfTrue="1" dxfId="0">
      <formula>40</formula>
    </cfRule>
  </conditionalFormatting>
  <conditionalFormatting sqref="J3 K3 L3 M3 N3 O3 P3 Q3 J4 K4 L4 M4 N4 O4 P4 Q4 J5 K5 L5 M5 N5 O5 P5 Q5 J6 K6 L6 M6 N6 O6 P6 Q6 J7 K7 L7 M7 N7 O7 P7 Q7 J8 K8 L8 M8 N8 O8 P8 Q8 J9 K9 L9 M9 N9 O9 P9 Q9 J10 K10 L10 M10 N10 O10 P10 Q10 J11 K11 L11 M11 N11 O11 P11 Q11 J12 K12 L12 M12 N12 O12 P12 Q12 J13 K13 L13 M13 N13 O13 P13 Q13 J14 K14 L14 M14 N14 O14 P14 Q14 J15 K15 L15 M15 N15 O15 P15 Q15 J16 K16 L16 M16 N16 O16 P16 Q16 J17 K17 L17 M17 N17 O17 P17 Q17 J18 K18 L18 M18 N18 O18 P18 Q18">
    <cfRule priority="1" type="cellIs" operator="lessThan" stopIfTrue="1" dxfId="0">
      <formula>0</formula>
    </cfRule>
  </conditionalFormatting>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23.0" defaultRowHeight="15.0"/>
  <cols>
    <col min="1" customWidth="1" max="1" style="52" width="15.71"/>
    <col min="2" customWidth="1" max="2" style="52" width="7.57"/>
    <col min="3" customWidth="1" max="3" style="52" width="6.43"/>
    <col min="4" customWidth="1" max="4" style="52" width="11.71"/>
    <col min="5" customWidth="1" max="7" style="52" width="20.71"/>
    <col min="8" customWidth="1" max="8" style="52" width="25.14"/>
    <col min="9" customWidth="1" max="9" style="52" width="10.29"/>
    <col min="10" customWidth="1" max="10" style="52" width="7.29"/>
    <col min="11" customWidth="1" max="11" style="52" hidden="1" width="10.29"/>
    <col min="12" customWidth="1" max="12" style="52" hidden="1" width="11.0"/>
    <col min="13" customWidth="1" max="13" style="52" width="7.71"/>
    <col min="14" customWidth="1" max="15" style="52" width="9.57"/>
    <col min="16" customWidth="1" max="16" width="8.86"/>
    <col min="17" customWidth="1" max="17" style="52" width="21.43"/>
    <col min="18" customWidth="1" max="18" style="52" hidden="1" width="9.57"/>
    <col min="19" max="19" hidden="1"/>
  </cols>
  <sheetData>
    <row r="1">
      <c t="s" s="9" r="A1">
        <v>6</v>
      </c>
      <c t="s" s="9" r="B1">
        <v>92</v>
      </c>
      <c t="s" s="9" r="C1">
        <v>93</v>
      </c>
      <c t="s" s="9" r="D1">
        <v>94</v>
      </c>
      <c t="s" s="9" r="E1">
        <v>95</v>
      </c>
      <c t="s" s="9" r="F1">
        <v>96</v>
      </c>
      <c t="s" s="9" r="G1">
        <v>94</v>
      </c>
      <c t="s" s="82" r="H1">
        <v>97</v>
      </c>
      <c t="s" s="9" r="I1">
        <v>98</v>
      </c>
      <c t="s" s="9" r="J1">
        <v>99</v>
      </c>
      <c t="s" s="9" r="K1">
        <v>100</v>
      </c>
      <c t="s" s="9" r="L1">
        <v>101</v>
      </c>
      <c t="s" s="9" r="M1">
        <v>102</v>
      </c>
      <c t="s" s="22" r="N1">
        <v>103</v>
      </c>
      <c t="s" s="9" r="O1">
        <v>10</v>
      </c>
      <c t="s" s="9" r="P1">
        <v>9</v>
      </c>
      <c t="s" s="9" r="Q1">
        <v>104</v>
      </c>
      <c t="s" s="4" r="R1">
        <v>105</v>
      </c>
    </row>
    <row r="2">
      <c t="s" s="7" r="A2">
        <v>33</v>
      </c>
      <c s="7" r="B2">
        <v>397</v>
      </c>
      <c s="7" r="C2">
        <v>1</v>
      </c>
      <c t="s" s="7" r="D2">
        <v>106</v>
      </c>
      <c t="s" s="7" r="E2">
        <v>34</v>
      </c>
      <c t="s" s="7" r="F2">
        <v>34</v>
      </c>
      <c t="s" s="7" r="G2">
        <v>34</v>
      </c>
      <c t="str" s="65" r="H2">
        <f>HYPERLINK("http://sofifa.com/en/fifa13winter/player/145070-jamie-langfield","J. Langfield")</f>
        <v>J. Langfield</v>
      </c>
      <c s="7" r="I2">
        <v>62</v>
      </c>
      <c t="s" s="7" r="J2">
        <v>106</v>
      </c>
      <c t="s" s="7" r="K2">
        <v>107</v>
      </c>
      <c t="s" s="7" r="L2">
        <v>108</v>
      </c>
      <c s="7" r="M2">
        <v>32</v>
      </c>
      <c s="26" r="N2">
        <v>0.4</v>
      </c>
      <c s="23" r="O2">
        <v>0.005</v>
      </c>
      <c s="7" r="P2"/>
      <c s="7" r="Q2"/>
      <c s="7" r="R2">
        <f>IF((P2&gt;0),O2,0)</f>
        <v>0</v>
      </c>
      <c t="str" r="S2">
        <f>CONCATENATE(F2,E2)</f>
        <v>AberdeenAberdeen</v>
      </c>
    </row>
    <row r="3">
      <c t="s" s="7" r="A3">
        <v>33</v>
      </c>
      <c s="7" r="B3">
        <v>398</v>
      </c>
      <c s="7" r="C3">
        <v>23</v>
      </c>
      <c t="s" s="7" r="D3">
        <v>109</v>
      </c>
      <c t="s" s="7" r="E3">
        <v>34</v>
      </c>
      <c t="s" s="7" r="F3">
        <v>34</v>
      </c>
      <c t="s" s="7" r="G3">
        <v>34</v>
      </c>
      <c t="str" s="65" r="H3">
        <f>HYPERLINK("http://sofifa.com/en/fifa13winter/player/149650-joe-shaughnessy","J. Shaughnessy")</f>
        <v>J. Shaughnessy</v>
      </c>
      <c s="7" r="I3">
        <v>59</v>
      </c>
      <c t="s" s="7" r="J3">
        <v>109</v>
      </c>
      <c t="s" s="7" r="K3">
        <v>110</v>
      </c>
      <c t="s" s="7" r="L3">
        <v>111</v>
      </c>
      <c s="7" r="M3">
        <v>20</v>
      </c>
      <c s="26" r="N3">
        <v>0.4</v>
      </c>
      <c s="23" r="O3">
        <v>0.002</v>
      </c>
      <c s="7" r="P3"/>
      <c s="7" r="Q3"/>
      <c s="7" r="R3">
        <f>IF((P3&gt;0),O3,0)</f>
        <v>0</v>
      </c>
      <c t="str" r="S3">
        <f>CONCATENATE(F3,E3)</f>
        <v>AberdeenAberdeen</v>
      </c>
    </row>
    <row r="4">
      <c t="s" s="7" r="A4">
        <v>33</v>
      </c>
      <c s="7" r="B4">
        <v>399</v>
      </c>
      <c s="7" r="C4">
        <v>4</v>
      </c>
      <c t="s" s="7" r="D4">
        <v>112</v>
      </c>
      <c t="s" s="7" r="E4">
        <v>34</v>
      </c>
      <c t="s" s="7" r="F4">
        <v>34</v>
      </c>
      <c t="s" s="7" r="G4">
        <v>34</v>
      </c>
      <c t="str" s="65" r="H4">
        <f>HYPERLINK("http://sofifa.com/en/fifa13winter/player/144647-russell-anderson","R. Anderson")</f>
        <v>R. Anderson</v>
      </c>
      <c s="7" r="I4">
        <v>66</v>
      </c>
      <c t="s" s="7" r="J4">
        <v>113</v>
      </c>
      <c t="s" s="7" r="K4">
        <v>114</v>
      </c>
      <c t="s" s="7" r="L4">
        <v>115</v>
      </c>
      <c s="7" r="M4">
        <v>33</v>
      </c>
      <c s="26" r="N4">
        <v>0.8</v>
      </c>
      <c s="23" r="O4">
        <v>0.007</v>
      </c>
      <c s="7" r="P4"/>
      <c s="7" r="Q4"/>
      <c s="7" r="R4">
        <f>IF((P4&gt;0),O4,0)</f>
        <v>0</v>
      </c>
      <c t="str" r="S4">
        <f>CONCATENATE(F4,E4)</f>
        <v>AberdeenAberdeen</v>
      </c>
    </row>
    <row r="5">
      <c t="s" s="7" r="A5">
        <v>33</v>
      </c>
      <c s="7" r="B5">
        <v>400</v>
      </c>
      <c s="7" r="C5">
        <v>22</v>
      </c>
      <c t="s" s="7" r="D5">
        <v>116</v>
      </c>
      <c t="s" s="7" r="E5">
        <v>34</v>
      </c>
      <c t="s" s="7" r="F5">
        <v>34</v>
      </c>
      <c t="s" s="7" r="G5">
        <v>34</v>
      </c>
      <c t="str" s="65" r="H5">
        <f>HYPERLINK("http://sofifa.com/en/fifa13winter/player/147763-mark-reynolds","M. Reynolds")</f>
        <v>M. Reynolds</v>
      </c>
      <c s="7" r="I5">
        <v>65</v>
      </c>
      <c t="s" s="7" r="J5">
        <v>113</v>
      </c>
      <c t="s" s="7" r="K5">
        <v>114</v>
      </c>
      <c t="s" s="7" r="L5">
        <v>115</v>
      </c>
      <c s="7" r="M5">
        <v>25</v>
      </c>
      <c s="26" r="N5">
        <v>1</v>
      </c>
      <c s="23" r="O5">
        <v>0.005</v>
      </c>
      <c s="7" r="P5"/>
      <c s="7" r="Q5"/>
      <c s="7" r="R5">
        <f>IF((P5&gt;0),O5,0)</f>
        <v>0</v>
      </c>
      <c t="str" r="S5">
        <f>CONCATENATE(F5,E5)</f>
        <v>AberdeenAberdeen</v>
      </c>
    </row>
    <row r="6">
      <c t="s" s="7" r="A6">
        <v>33</v>
      </c>
      <c s="7" r="B6">
        <v>401</v>
      </c>
      <c s="7" r="C6">
        <v>17</v>
      </c>
      <c t="s" s="7" r="D6">
        <v>117</v>
      </c>
      <c t="s" s="7" r="E6">
        <v>34</v>
      </c>
      <c t="s" s="7" r="F6">
        <v>34</v>
      </c>
      <c t="s" s="7" r="G6">
        <v>34</v>
      </c>
      <c t="str" s="65" r="H6">
        <f>HYPERLINK("http://sofifa.com/en/fifa13winter/player/144669-gary-naysmith","G. Naysmith")</f>
        <v>G. Naysmith</v>
      </c>
      <c s="7" r="I6">
        <v>61</v>
      </c>
      <c t="s" s="7" r="J6">
        <v>117</v>
      </c>
      <c t="s" s="7" r="K6">
        <v>118</v>
      </c>
      <c t="s" s="7" r="L6">
        <v>119</v>
      </c>
      <c s="7" r="M6">
        <v>33</v>
      </c>
      <c s="26" r="N6">
        <v>0.4</v>
      </c>
      <c s="23" r="O6">
        <v>0.004</v>
      </c>
      <c s="7" r="P6"/>
      <c s="7" r="Q6"/>
      <c s="7" r="R6">
        <f>IF((P6&gt;0),O6,0)</f>
        <v>0</v>
      </c>
      <c t="str" r="S6">
        <f>CONCATENATE(F6,E6)</f>
        <v>AberdeenAberdeen</v>
      </c>
    </row>
    <row r="7">
      <c t="s" s="7" r="A7">
        <v>33</v>
      </c>
      <c s="7" r="B7">
        <v>402</v>
      </c>
      <c s="7" r="C7">
        <v>11</v>
      </c>
      <c t="s" s="7" r="D7">
        <v>120</v>
      </c>
      <c t="s" s="7" r="E7">
        <v>34</v>
      </c>
      <c t="s" s="7" r="F7">
        <v>34</v>
      </c>
      <c t="s" s="7" r="G7">
        <v>34</v>
      </c>
      <c t="str" s="65" r="H7">
        <f>HYPERLINK("http://sofifa.com/en/fifa13winter/player/147826-jonathan-hayes","J. Hayes")</f>
        <v>J. Hayes</v>
      </c>
      <c s="7" r="I7">
        <v>69</v>
      </c>
      <c t="s" s="7" r="J7">
        <v>120</v>
      </c>
      <c t="s" s="7" r="K7">
        <v>121</v>
      </c>
      <c t="s" s="7" r="L7">
        <v>122</v>
      </c>
      <c s="7" r="M7">
        <v>25</v>
      </c>
      <c s="26" r="N7">
        <v>1.9</v>
      </c>
      <c s="23" r="O7">
        <v>0.007</v>
      </c>
      <c s="7" r="P7"/>
      <c s="7" r="Q7"/>
      <c s="7" r="R7">
        <f>IF((P7&gt;0),O7,0)</f>
        <v>0</v>
      </c>
      <c t="str" r="S7">
        <f>CONCATENATE(F7,E7)</f>
        <v>AberdeenAberdeen</v>
      </c>
    </row>
    <row r="8">
      <c t="s" s="7" r="A8">
        <v>33</v>
      </c>
      <c s="7" r="B8">
        <v>403</v>
      </c>
      <c s="7" r="C8">
        <v>5</v>
      </c>
      <c t="s" s="7" r="D8">
        <v>123</v>
      </c>
      <c t="s" s="7" r="E8">
        <v>34</v>
      </c>
      <c t="s" s="7" r="F8">
        <v>34</v>
      </c>
      <c t="s" s="7" r="G8">
        <v>34</v>
      </c>
      <c t="str" s="65" r="H8">
        <f>HYPERLINK("http://sofifa.com/en/fifa13winter/player/144316-gavin-rae","G. Rae")</f>
        <v>G. Rae</v>
      </c>
      <c s="7" r="I8">
        <v>64</v>
      </c>
      <c t="s" s="7" r="J8">
        <v>124</v>
      </c>
      <c t="s" s="7" r="K8">
        <v>114</v>
      </c>
      <c t="s" s="7" r="L8">
        <v>125</v>
      </c>
      <c s="7" r="M8">
        <v>34</v>
      </c>
      <c s="26" r="N8">
        <v>0.6</v>
      </c>
      <c s="23" r="O8">
        <v>0.006</v>
      </c>
      <c s="7" r="P8"/>
      <c s="7" r="Q8"/>
      <c s="7" r="R8">
        <f>IF((P8&gt;0),O8,0)</f>
        <v>0</v>
      </c>
      <c t="str" r="S8">
        <f>CONCATENATE(F8,E8)</f>
        <v>AberdeenAberdeen</v>
      </c>
    </row>
    <row r="9">
      <c t="s" s="7" r="A9">
        <v>33</v>
      </c>
      <c s="7" r="B9">
        <v>404</v>
      </c>
      <c s="7" r="C9">
        <v>18</v>
      </c>
      <c t="s" s="7" r="D9">
        <v>126</v>
      </c>
      <c t="s" s="7" r="E9">
        <v>34</v>
      </c>
      <c t="s" s="7" r="F9">
        <v>34</v>
      </c>
      <c t="s" s="7" r="G9">
        <v>34</v>
      </c>
      <c t="str" s="65" r="H9">
        <f>HYPERLINK("http://sofifa.com/en/fifa13winter/player/146128-stephen-hughes","S. Hughes")</f>
        <v>S. Hughes</v>
      </c>
      <c s="7" r="I9">
        <v>63</v>
      </c>
      <c t="s" s="7" r="J9">
        <v>124</v>
      </c>
      <c t="s" s="7" r="K9">
        <v>114</v>
      </c>
      <c t="s" s="7" r="L9">
        <v>127</v>
      </c>
      <c s="7" r="M9">
        <v>29</v>
      </c>
      <c s="26" r="N9">
        <v>0.7</v>
      </c>
      <c s="23" r="O9">
        <v>0.004</v>
      </c>
      <c s="7" r="P9"/>
      <c s="7" r="Q9"/>
      <c s="7" r="R9">
        <f>IF((P9&gt;0),O9,0)</f>
        <v>0</v>
      </c>
      <c t="str" r="S9">
        <f>CONCATENATE(F9,E9)</f>
        <v>AberdeenAberdeen</v>
      </c>
    </row>
    <row r="10">
      <c t="s" s="7" r="A10">
        <v>33</v>
      </c>
      <c s="7" r="B10">
        <v>405</v>
      </c>
      <c s="7" r="C10">
        <v>10</v>
      </c>
      <c t="s" s="7" r="D10">
        <v>128</v>
      </c>
      <c t="s" s="7" r="E10">
        <v>34</v>
      </c>
      <c t="s" s="7" r="F10">
        <v>34</v>
      </c>
      <c t="s" s="7" r="G10">
        <v>34</v>
      </c>
      <c t="str" s="65" r="H10">
        <f>HYPERLINK("http://sofifa.com/en/fifa13winter/player/147837-niall-mcginn","N. McGinn")</f>
        <v>N. McGinn</v>
      </c>
      <c s="7" r="I10">
        <v>70</v>
      </c>
      <c t="s" s="7" r="J10">
        <v>129</v>
      </c>
      <c t="s" s="7" r="K10">
        <v>130</v>
      </c>
      <c t="s" s="7" r="L10">
        <v>122</v>
      </c>
      <c s="7" r="M10">
        <v>25</v>
      </c>
      <c s="26" r="N10">
        <v>2.2</v>
      </c>
      <c s="23" r="O10">
        <v>0.007</v>
      </c>
      <c s="7" r="P10"/>
      <c s="7" r="Q10"/>
      <c s="7" r="R10">
        <f>IF((P10&gt;0),O10,0)</f>
        <v>0</v>
      </c>
      <c t="str" r="S10">
        <f>CONCATENATE(F10,E10)</f>
        <v>AberdeenAberdeen</v>
      </c>
    </row>
    <row r="11">
      <c t="s" s="7" r="A11">
        <v>33</v>
      </c>
      <c s="7" r="B11">
        <v>406</v>
      </c>
      <c s="7" r="C11">
        <v>9</v>
      </c>
      <c t="s" s="7" r="D11">
        <v>131</v>
      </c>
      <c t="s" s="7" r="E11">
        <v>34</v>
      </c>
      <c t="s" s="7" r="F11">
        <v>34</v>
      </c>
      <c t="s" s="7" r="G11">
        <v>34</v>
      </c>
      <c t="str" s="65" r="H11">
        <f>HYPERLINK("http://sofifa.com/en/fifa13winter/player/146522-scott-vernon","S. Vernon")</f>
        <v>S. Vernon</v>
      </c>
      <c s="7" r="I11">
        <v>61</v>
      </c>
      <c t="s" s="7" r="J11">
        <v>129</v>
      </c>
      <c t="s" s="7" r="K11">
        <v>132</v>
      </c>
      <c t="s" s="7" r="L11">
        <v>119</v>
      </c>
      <c s="7" r="M11">
        <v>28</v>
      </c>
      <c s="26" r="N11">
        <v>0.7</v>
      </c>
      <c s="23" r="O11">
        <v>0.004</v>
      </c>
      <c s="7" r="P11"/>
      <c s="7" r="Q11"/>
      <c s="7" r="R11">
        <f>IF((P11&gt;0),O11,0)</f>
        <v>0</v>
      </c>
      <c t="str" r="S11">
        <f>CONCATENATE(F11,E11)</f>
        <v>AberdeenAberdeen</v>
      </c>
    </row>
    <row r="12">
      <c t="s" s="7" r="A12">
        <v>33</v>
      </c>
      <c s="7" r="B12">
        <v>407</v>
      </c>
      <c s="7" r="C12">
        <v>21</v>
      </c>
      <c t="s" s="7" r="D12">
        <v>133</v>
      </c>
      <c t="s" s="7" r="E12">
        <v>34</v>
      </c>
      <c t="s" s="7" r="F12">
        <v>34</v>
      </c>
      <c t="s" s="7" r="G12">
        <v>34</v>
      </c>
      <c t="str" s="65" r="H12">
        <f>HYPERLINK("http://sofifa.com/en/fifa13winter/player/148959-josh-magennis","J. Magennis")</f>
        <v>J. Magennis</v>
      </c>
      <c s="7" r="I12">
        <v>62</v>
      </c>
      <c t="s" s="7" r="J12">
        <v>109</v>
      </c>
      <c t="s" s="7" r="K12">
        <v>134</v>
      </c>
      <c t="s" s="7" r="L12">
        <v>135</v>
      </c>
      <c s="7" r="M12">
        <v>22</v>
      </c>
      <c s="26" r="N12">
        <v>0.7</v>
      </c>
      <c s="23" r="O12">
        <v>0.003</v>
      </c>
      <c s="7" r="P12"/>
      <c s="7" r="Q12"/>
      <c s="7" r="R12">
        <f>IF((P12&gt;0),O12,0)</f>
        <v>0</v>
      </c>
      <c t="str" r="S12">
        <f>CONCATENATE(F12,E12)</f>
        <v>AberdeenAberdeen</v>
      </c>
    </row>
    <row r="13">
      <c t="s" s="7" r="A13">
        <v>33</v>
      </c>
      <c s="7" r="B13">
        <v>408</v>
      </c>
      <c s="7" r="C13">
        <v>16</v>
      </c>
      <c t="s" s="7" r="D13">
        <v>136</v>
      </c>
      <c t="s" s="7" r="E13">
        <v>34</v>
      </c>
      <c t="s" s="7" r="F13">
        <v>34</v>
      </c>
      <c t="s" s="7" r="G13">
        <v>34</v>
      </c>
      <c t="str" s="65" r="H13">
        <f>HYPERLINK("http://sofifa.com/en/fifa13winter/player/147444-isaac-osbourne","I. Osbourne")</f>
        <v>I. Osbourne</v>
      </c>
      <c s="7" r="I13">
        <v>63</v>
      </c>
      <c t="s" s="7" r="J13">
        <v>124</v>
      </c>
      <c t="s" s="7" r="K13">
        <v>118</v>
      </c>
      <c t="s" s="7" r="L13">
        <v>137</v>
      </c>
      <c s="7" r="M13">
        <v>26</v>
      </c>
      <c s="26" r="N13">
        <v>0.8</v>
      </c>
      <c s="23" r="O13">
        <v>0.004</v>
      </c>
      <c s="7" r="P13"/>
      <c s="7" r="Q13"/>
      <c s="7" r="R13">
        <f>IF((P13&gt;0),O13,0)</f>
        <v>0</v>
      </c>
      <c t="str" r="S13">
        <f>CONCATENATE(F13,E13)</f>
        <v>AberdeenAberdeen</v>
      </c>
    </row>
    <row r="14">
      <c t="s" s="7" r="A14">
        <v>33</v>
      </c>
      <c s="7" r="B14">
        <v>409</v>
      </c>
      <c s="7" r="C14">
        <v>20</v>
      </c>
      <c t="s" s="7" r="D14">
        <v>136</v>
      </c>
      <c t="s" s="7" r="E14">
        <v>34</v>
      </c>
      <c t="s" s="7" r="F14">
        <v>34</v>
      </c>
      <c t="s" s="7" r="G14">
        <v>34</v>
      </c>
      <c t="str" s="65" r="H14">
        <f>HYPERLINK("http://sofifa.com/en/fifa13winter/player/149200-dan-twardzik","D. Twardzik")</f>
        <v>D. Twardzik</v>
      </c>
      <c s="7" r="I14">
        <v>53</v>
      </c>
      <c t="s" s="7" r="J14">
        <v>106</v>
      </c>
      <c t="s" s="7" r="K14">
        <v>110</v>
      </c>
      <c t="s" s="7" r="L14">
        <v>138</v>
      </c>
      <c s="7" r="M14">
        <v>21</v>
      </c>
      <c s="26" r="N14">
        <v>0.1</v>
      </c>
      <c s="23" r="O14">
        <v>0.002</v>
      </c>
      <c s="7" r="P14"/>
      <c s="7" r="Q14"/>
      <c s="7" r="R14">
        <f>IF((P14&gt;0),O14,0)</f>
        <v>0</v>
      </c>
      <c t="str" r="S14">
        <f>CONCATENATE(F14,E14)</f>
        <v>AberdeenAberdeen</v>
      </c>
    </row>
    <row r="15">
      <c t="s" s="7" r="A15">
        <v>33</v>
      </c>
      <c s="7" r="B15">
        <v>410</v>
      </c>
      <c s="7" r="C15">
        <v>50</v>
      </c>
      <c t="s" s="7" r="D15">
        <v>136</v>
      </c>
      <c t="s" s="7" r="E15">
        <v>34</v>
      </c>
      <c t="s" s="7" r="F15">
        <v>34</v>
      </c>
      <c t="s" s="7" r="G15">
        <v>34</v>
      </c>
      <c t="str" s="65" r="H15">
        <f>HYPERLINK("http://sofifa.com/en/fifa13winter/player/150275-daniel-rogers","D. Rogers")</f>
        <v>D. Rogers</v>
      </c>
      <c s="7" r="I15">
        <v>53</v>
      </c>
      <c t="s" s="7" r="J15">
        <v>106</v>
      </c>
      <c t="s" s="7" r="K15">
        <v>132</v>
      </c>
      <c t="s" s="7" r="L15">
        <v>138</v>
      </c>
      <c s="7" r="M15">
        <v>18</v>
      </c>
      <c s="26" r="N15">
        <v>0.1</v>
      </c>
      <c s="23" r="O15">
        <v>0.002</v>
      </c>
      <c s="7" r="P15"/>
      <c s="7" r="Q15"/>
      <c s="7" r="R15">
        <f>IF((P15&gt;0),O15,0)</f>
        <v>0</v>
      </c>
      <c t="str" r="S15">
        <f>CONCATENATE(F15,E15)</f>
        <v>AberdeenAberdeen</v>
      </c>
    </row>
    <row r="16">
      <c t="s" s="7" r="A16">
        <v>33</v>
      </c>
      <c s="7" r="B16">
        <v>411</v>
      </c>
      <c s="7" r="C16">
        <v>38</v>
      </c>
      <c t="s" s="7" r="D16">
        <v>136</v>
      </c>
      <c t="s" s="7" r="E16">
        <v>34</v>
      </c>
      <c t="s" s="7" r="F16">
        <v>34</v>
      </c>
      <c t="s" s="7" r="G16">
        <v>34</v>
      </c>
      <c t="str" s="65" r="H16">
        <f>HYPERLINK("http://sofifa.com/en/fifa13winter/player/150794-cameron-smith","C. Smith")</f>
        <v>C. Smith</v>
      </c>
      <c s="7" r="I16">
        <v>58</v>
      </c>
      <c t="s" s="7" r="J16">
        <v>129</v>
      </c>
      <c t="s" s="7" r="K16">
        <v>139</v>
      </c>
      <c t="s" s="7" r="L16">
        <v>140</v>
      </c>
      <c s="7" r="M16">
        <v>17</v>
      </c>
      <c s="26" r="N16">
        <v>0.4</v>
      </c>
      <c s="23" r="O16">
        <v>0.002</v>
      </c>
      <c s="7" r="P16"/>
      <c s="7" r="Q16"/>
      <c s="7" r="R16">
        <f>IF((P16&gt;0),O16,0)</f>
        <v>0</v>
      </c>
      <c t="str" r="S16">
        <f>CONCATENATE(F16,E16)</f>
        <v>AberdeenAberdeen</v>
      </c>
    </row>
    <row r="17">
      <c t="s" s="7" r="A17">
        <v>33</v>
      </c>
      <c s="7" r="B17">
        <v>412</v>
      </c>
      <c s="7" r="C17">
        <v>25</v>
      </c>
      <c t="s" s="7" r="D17">
        <v>136</v>
      </c>
      <c t="s" s="7" r="E17">
        <v>34</v>
      </c>
      <c t="s" s="7" r="F17">
        <v>34</v>
      </c>
      <c t="s" s="7" r="G17">
        <v>34</v>
      </c>
      <c t="str" s="65" r="H17">
        <f>HYPERLINK("http://sofifa.com/en/fifa13winter/player/149923-jamie-masson","J. Masson")</f>
        <v>J. Masson</v>
      </c>
      <c s="7" r="I17">
        <v>60</v>
      </c>
      <c t="s" s="7" r="J17">
        <v>120</v>
      </c>
      <c t="s" s="7" r="K17">
        <v>121</v>
      </c>
      <c t="s" s="7" r="L17">
        <v>141</v>
      </c>
      <c s="7" r="M17">
        <v>19</v>
      </c>
      <c s="26" r="N17">
        <v>0.6</v>
      </c>
      <c s="23" r="O17">
        <v>0.003</v>
      </c>
      <c s="7" r="P17"/>
      <c s="7" r="Q17"/>
      <c s="7" r="R17">
        <f>IF((P17&gt;0),O17,0)</f>
        <v>0</v>
      </c>
      <c t="str" r="S17">
        <f>CONCATENATE(F17,E17)</f>
        <v>AberdeenAberdeen</v>
      </c>
    </row>
    <row r="18">
      <c t="s" s="7" r="A18">
        <v>33</v>
      </c>
      <c s="7" r="B18">
        <v>413</v>
      </c>
      <c s="7" r="C18">
        <v>3</v>
      </c>
      <c t="s" s="7" r="D18">
        <v>136</v>
      </c>
      <c t="s" s="7" r="E18">
        <v>34</v>
      </c>
      <c t="s" s="7" r="F18">
        <v>34</v>
      </c>
      <c t="s" s="7" r="G18">
        <v>34</v>
      </c>
      <c t="str" s="65" r="H18">
        <f>HYPERLINK("http://sofifa.com/en/fifa13winter/player/150076-clark-robertson","C. Robertson")</f>
        <v>C. Robertson</v>
      </c>
      <c s="7" r="I18">
        <v>61</v>
      </c>
      <c t="s" s="7" r="J18">
        <v>117</v>
      </c>
      <c t="s" s="7" r="K18">
        <v>134</v>
      </c>
      <c t="s" s="7" r="L18">
        <v>137</v>
      </c>
      <c s="7" r="M18">
        <v>18</v>
      </c>
      <c s="26" r="N18">
        <v>0.6</v>
      </c>
      <c s="23" r="O18">
        <v>0.003</v>
      </c>
      <c s="7" r="P18"/>
      <c s="7" r="Q18"/>
      <c s="7" r="R18">
        <f>IF((P18&gt;0),O18,0)</f>
        <v>0</v>
      </c>
      <c t="str" r="S18">
        <f>CONCATENATE(F18,E18)</f>
        <v>AberdeenAberdeen</v>
      </c>
    </row>
    <row r="19">
      <c t="s" s="7" r="A19">
        <v>33</v>
      </c>
      <c s="7" r="B19">
        <v>414</v>
      </c>
      <c s="7" r="C19">
        <v>7</v>
      </c>
      <c t="s" s="7" r="D19">
        <v>136</v>
      </c>
      <c t="s" s="7" r="E19">
        <v>34</v>
      </c>
      <c t="s" s="7" r="F19">
        <v>34</v>
      </c>
      <c t="s" s="7" r="G19">
        <v>34</v>
      </c>
      <c t="str" s="65" r="H19">
        <f>HYPERLINK("http://sofifa.com/en/fifa13winter/player/145338-chris-clark","C. Clark")</f>
        <v>C. Clark</v>
      </c>
      <c s="7" r="I19">
        <v>60</v>
      </c>
      <c t="s" s="7" r="J19">
        <v>128</v>
      </c>
      <c t="s" s="7" r="K19">
        <v>130</v>
      </c>
      <c t="s" s="7" r="L19">
        <v>142</v>
      </c>
      <c s="7" r="M19">
        <v>31</v>
      </c>
      <c s="26" r="N19">
        <v>0.4</v>
      </c>
      <c s="23" r="O19">
        <v>0.004</v>
      </c>
      <c s="7" r="P19"/>
      <c s="7" r="Q19"/>
      <c s="7" r="R19">
        <f>IF((P19&gt;0),O19,0)</f>
        <v>0</v>
      </c>
      <c t="str" r="S19">
        <f>CONCATENATE(F19,E19)</f>
        <v>AberdeenAberdeen</v>
      </c>
    </row>
    <row r="20">
      <c t="s" s="7" r="A20">
        <v>33</v>
      </c>
      <c s="7" r="B20">
        <v>415</v>
      </c>
      <c s="7" r="C20">
        <v>2</v>
      </c>
      <c t="s" s="7" r="D20">
        <v>136</v>
      </c>
      <c t="s" s="7" r="E20">
        <v>34</v>
      </c>
      <c t="s" s="7" r="F20">
        <v>34</v>
      </c>
      <c t="s" s="7" r="G20">
        <v>34</v>
      </c>
      <c t="str" s="65" r="H20">
        <f>HYPERLINK("http://sofifa.com/en/fifa13winter/player/149520-ryan-jack","R. Jack")</f>
        <v>R. Jack</v>
      </c>
      <c s="7" r="I20">
        <v>62</v>
      </c>
      <c t="s" s="7" r="J20">
        <v>124</v>
      </c>
      <c t="s" s="7" r="K20">
        <v>143</v>
      </c>
      <c t="s" s="7" r="L20">
        <v>125</v>
      </c>
      <c s="7" r="M20">
        <v>20</v>
      </c>
      <c s="26" r="N20">
        <v>0.7</v>
      </c>
      <c s="23" r="O20">
        <v>0.003</v>
      </c>
      <c s="7" r="P20"/>
      <c s="7" r="Q20"/>
      <c s="7" r="R20">
        <f>IF((P20&gt;0),O20,0)</f>
        <v>0</v>
      </c>
      <c t="str" r="S20">
        <f>CONCATENATE(F20,E20)</f>
        <v>AberdeenAberdeen</v>
      </c>
    </row>
    <row r="21">
      <c t="s" s="7" r="A21">
        <v>33</v>
      </c>
      <c s="7" r="B21">
        <v>416</v>
      </c>
      <c s="7" r="C21">
        <v>15</v>
      </c>
      <c t="s" s="7" r="D21">
        <v>136</v>
      </c>
      <c t="s" s="7" r="E21">
        <v>34</v>
      </c>
      <c t="s" s="7" r="F21">
        <v>34</v>
      </c>
      <c t="s" s="7" r="G21">
        <v>34</v>
      </c>
      <c t="str" s="65" r="H21">
        <f>HYPERLINK("http://sofifa.com/en/fifa13winter/player/149131-peter-pawlett","P. Pawlett")</f>
        <v>P. Pawlett</v>
      </c>
      <c s="7" r="I21">
        <v>63</v>
      </c>
      <c t="s" s="7" r="J21">
        <v>120</v>
      </c>
      <c t="s" s="7" r="K21">
        <v>118</v>
      </c>
      <c t="s" s="7" r="L21">
        <v>115</v>
      </c>
      <c s="7" r="M21">
        <v>21</v>
      </c>
      <c s="26" r="N21">
        <v>0.9</v>
      </c>
      <c s="23" r="O21">
        <v>0.004</v>
      </c>
      <c s="7" r="P21"/>
      <c s="7" r="Q21"/>
      <c s="7" r="R21">
        <f>IF((P21&gt;0),O21,0)</f>
        <v>0</v>
      </c>
      <c t="str" r="S21">
        <f>CONCATENATE(F21,E21)</f>
        <v>AberdeenAberdeen</v>
      </c>
    </row>
    <row r="22">
      <c t="s" s="7" r="A22">
        <v>33</v>
      </c>
      <c s="7" r="B22">
        <v>417</v>
      </c>
      <c s="7" r="C22">
        <v>14</v>
      </c>
      <c t="s" s="7" r="D22">
        <v>136</v>
      </c>
      <c t="s" s="7" r="E22">
        <v>34</v>
      </c>
      <c t="s" s="7" r="F22">
        <v>34</v>
      </c>
      <c t="s" s="7" r="G22">
        <v>34</v>
      </c>
      <c t="str" s="65" r="H22">
        <f>HYPERLINK("http://sofifa.com/en/fifa13winter/player/145889-rory-fallon","R. Fallon")</f>
        <v>R. Fallon</v>
      </c>
      <c s="7" r="I22">
        <v>60</v>
      </c>
      <c t="s" s="7" r="J22">
        <v>129</v>
      </c>
      <c t="s" s="7" r="K22">
        <v>144</v>
      </c>
      <c t="s" s="7" r="L22">
        <v>137</v>
      </c>
      <c s="7" r="M22">
        <v>30</v>
      </c>
      <c s="26" r="N22">
        <v>0.5</v>
      </c>
      <c s="23" r="O22">
        <v>0.004</v>
      </c>
      <c s="7" r="P22"/>
      <c s="7" r="Q22"/>
      <c s="7" r="R22">
        <f>IF((P22&gt;0),O22,0)</f>
        <v>0</v>
      </c>
      <c t="str" r="S22">
        <f>CONCATENATE(F22,E22)</f>
        <v>AberdeenAberdeen</v>
      </c>
    </row>
    <row r="23">
      <c t="s" s="7" r="A23">
        <v>33</v>
      </c>
      <c s="7" r="B23">
        <v>418</v>
      </c>
      <c s="7" r="C23">
        <v>8</v>
      </c>
      <c t="s" s="7" r="D23">
        <v>136</v>
      </c>
      <c t="s" s="7" r="E23">
        <v>34</v>
      </c>
      <c t="s" s="7" r="F23">
        <v>34</v>
      </c>
      <c t="s" s="7" r="G23">
        <v>34</v>
      </c>
      <c t="str" s="65" r="H23">
        <f>HYPERLINK("http://sofifa.com/en/fifa13winter/player/147638-robert-milsom","R. Milsom")</f>
        <v>R. Milsom</v>
      </c>
      <c s="7" r="I23">
        <v>60</v>
      </c>
      <c t="s" s="7" r="J23">
        <v>124</v>
      </c>
      <c t="s" s="7" r="K23">
        <v>145</v>
      </c>
      <c t="s" s="7" r="L23">
        <v>146</v>
      </c>
      <c s="7" r="M23">
        <v>25</v>
      </c>
      <c s="26" r="N23">
        <v>0.5</v>
      </c>
      <c s="23" r="O23">
        <v>0.003</v>
      </c>
      <c s="7" r="P23"/>
      <c s="7" r="Q23"/>
      <c s="7" r="R23">
        <f>IF((P23&gt;0),O23,0)</f>
        <v>0</v>
      </c>
      <c t="str" r="S23">
        <f>CONCATENATE(F23,E23)</f>
        <v>AberdeenAberdeen</v>
      </c>
    </row>
    <row r="24">
      <c t="s" s="7" r="A24">
        <v>33</v>
      </c>
      <c s="7" r="B24">
        <v>419</v>
      </c>
      <c s="7" r="C24">
        <v>6</v>
      </c>
      <c t="s" s="7" r="D24">
        <v>136</v>
      </c>
      <c t="s" s="7" r="E24">
        <v>34</v>
      </c>
      <c t="s" s="7" r="F24">
        <v>34</v>
      </c>
      <c t="s" s="7" r="G24">
        <v>34</v>
      </c>
      <c t="str" s="65" r="H24">
        <f>HYPERLINK("http://sofifa.com/en/fifa13winter/player/147727-andrew-considine","A. Considine")</f>
        <v>A. Considine</v>
      </c>
      <c s="7" r="I24">
        <v>65</v>
      </c>
      <c t="s" s="7" r="J24">
        <v>113</v>
      </c>
      <c t="s" s="7" r="K24">
        <v>110</v>
      </c>
      <c t="s" s="7" r="L24">
        <v>137</v>
      </c>
      <c s="7" r="M24">
        <v>25</v>
      </c>
      <c s="26" r="N24">
        <v>1</v>
      </c>
      <c s="23" r="O24">
        <v>0.005</v>
      </c>
      <c s="7" r="P24"/>
      <c s="7" r="Q24"/>
      <c s="7" r="R24">
        <f>IF((P24&gt;0),O24,0)</f>
        <v>0</v>
      </c>
      <c t="str" r="S24">
        <f>CONCATENATE(F24,E24)</f>
        <v>AberdeenAberdeen</v>
      </c>
    </row>
    <row r="25">
      <c t="s" s="7" r="A25">
        <v>33</v>
      </c>
      <c s="7" r="B25">
        <v>420</v>
      </c>
      <c s="7" r="C25">
        <v>13</v>
      </c>
      <c t="s" s="7" r="D25">
        <v>147</v>
      </c>
      <c t="s" s="7" r="E25">
        <v>34</v>
      </c>
      <c t="s" s="7" r="F25">
        <v>34</v>
      </c>
      <c t="s" s="7" r="G25">
        <v>34</v>
      </c>
      <c t="str" s="65" r="H25">
        <f>HYPERLINK("http://sofifa.com/en/fifa13winter/player/149468-nicky-low","N. Low")</f>
        <v>N. Low</v>
      </c>
      <c s="7" r="I25">
        <v>58</v>
      </c>
      <c t="s" s="7" r="J25">
        <v>124</v>
      </c>
      <c t="s" s="7" r="K25">
        <v>148</v>
      </c>
      <c t="s" s="7" r="L25">
        <v>149</v>
      </c>
      <c s="7" r="M25">
        <v>20</v>
      </c>
      <c s="26" r="N25">
        <v>0.3</v>
      </c>
      <c s="23" r="O25">
        <v>0.002</v>
      </c>
      <c s="7" r="P25"/>
      <c s="7" r="Q25"/>
      <c s="7" r="R25">
        <f>IF((P25&gt;0),O25,0)</f>
        <v>0</v>
      </c>
      <c t="str" r="S25">
        <f>CONCATENATE(F25,E25)</f>
        <v>AberdeenAberdeen</v>
      </c>
    </row>
    <row r="26">
      <c t="s" s="7" r="A26">
        <v>33</v>
      </c>
      <c s="7" r="B26">
        <v>421</v>
      </c>
      <c s="7" r="C26">
        <v>36</v>
      </c>
      <c t="s" s="7" r="D26">
        <v>147</v>
      </c>
      <c t="s" s="7" r="E26">
        <v>34</v>
      </c>
      <c t="s" s="7" r="F26">
        <v>34</v>
      </c>
      <c t="s" s="7" r="G26">
        <v>34</v>
      </c>
      <c t="str" s="65" r="H26">
        <f>HYPERLINK("http://sofifa.com/en/fifa13winter/player/150194-michael-rose","M. Rose")</f>
        <v>M. Rose</v>
      </c>
      <c s="7" r="I26">
        <v>53</v>
      </c>
      <c t="s" s="7" r="J26">
        <v>113</v>
      </c>
      <c t="s" s="7" r="K26">
        <v>150</v>
      </c>
      <c t="s" s="7" r="L26">
        <v>122</v>
      </c>
      <c s="7" r="M26">
        <v>18</v>
      </c>
      <c s="26" r="N26">
        <v>0.1</v>
      </c>
      <c s="23" r="O26">
        <v>0.002</v>
      </c>
      <c s="7" r="P26"/>
      <c s="7" r="Q26"/>
      <c s="7" r="R26">
        <f>IF((P26&gt;0),O26,0)</f>
        <v>0</v>
      </c>
      <c t="str" r="S26">
        <f>CONCATENATE(F26,E26)</f>
        <v>AberdeenAberdeen</v>
      </c>
    </row>
    <row r="27">
      <c t="s" s="7" r="A27">
        <v>33</v>
      </c>
      <c s="7" r="B27">
        <v>422</v>
      </c>
      <c s="7" r="C27">
        <v>37</v>
      </c>
      <c t="s" s="7" r="D27">
        <v>147</v>
      </c>
      <c t="s" s="7" r="E27">
        <v>34</v>
      </c>
      <c t="s" s="7" r="F27">
        <v>34</v>
      </c>
      <c t="s" s="7" r="G27">
        <v>34</v>
      </c>
      <c t="str" s="65" r="H27">
        <f>HYPERLINK("http://sofifa.com/en/fifa13winter/player/150351-stephen-oneill","S. O'Neill")</f>
        <v>S. O'Neill</v>
      </c>
      <c s="7" r="I27">
        <v>52</v>
      </c>
      <c t="s" s="7" r="J27">
        <v>120</v>
      </c>
      <c t="s" s="7" r="K27">
        <v>132</v>
      </c>
      <c t="s" s="7" r="L27">
        <v>151</v>
      </c>
      <c s="7" r="M27">
        <v>18</v>
      </c>
      <c s="26" r="N27">
        <v>0.1</v>
      </c>
      <c s="23" r="O27">
        <v>0.002</v>
      </c>
      <c s="7" r="P27"/>
      <c s="7" r="Q27"/>
      <c s="7" r="R27">
        <f>IF((P27&gt;0),O27,0)</f>
        <v>0</v>
      </c>
      <c t="str" r="S27">
        <f>CONCATENATE(F27,E27)</f>
        <v>AberdeenAberdeen</v>
      </c>
    </row>
    <row r="28">
      <c t="s" s="7" r="A28">
        <v>33</v>
      </c>
      <c s="7" r="B28">
        <v>423</v>
      </c>
      <c s="7" r="C28">
        <v>35</v>
      </c>
      <c t="s" s="7" r="D28">
        <v>147</v>
      </c>
      <c t="s" s="7" r="E28">
        <v>34</v>
      </c>
      <c t="s" s="7" r="F28">
        <v>34</v>
      </c>
      <c t="s" s="7" r="G28">
        <v>34</v>
      </c>
      <c t="str" s="65" r="H28">
        <f>HYPERLINK("http://sofifa.com/en/fifa13winter/player/150194-craig-murray","C. Murray")</f>
        <v>C. Murray</v>
      </c>
      <c s="7" r="I28">
        <v>53</v>
      </c>
      <c t="s" s="7" r="J28">
        <v>109</v>
      </c>
      <c t="s" s="7" r="K28">
        <v>114</v>
      </c>
      <c t="s" s="7" r="L28">
        <v>151</v>
      </c>
      <c s="7" r="M28">
        <v>18</v>
      </c>
      <c s="26" r="N28">
        <v>0.1</v>
      </c>
      <c s="23" r="O28">
        <v>0.002</v>
      </c>
      <c s="7" r="P28"/>
      <c s="7" r="Q28"/>
      <c s="7" r="R28">
        <f>IF((P28&gt;0),O28,0)</f>
        <v>0</v>
      </c>
      <c t="str" r="S28">
        <f>CONCATENATE(F28,E28)</f>
        <v>AberdeenAberdeen</v>
      </c>
    </row>
    <row r="29">
      <c t="s" s="7" r="A29">
        <v>33</v>
      </c>
      <c s="7" r="B29">
        <v>424</v>
      </c>
      <c s="7" r="C29">
        <v>34</v>
      </c>
      <c t="s" s="7" r="D29">
        <v>147</v>
      </c>
      <c t="s" s="7" r="E29">
        <v>34</v>
      </c>
      <c t="s" s="7" r="F29">
        <v>34</v>
      </c>
      <c t="s" s="7" r="G29">
        <v>34</v>
      </c>
      <c t="str" s="65" r="H29">
        <f>HYPERLINK("http://sofifa.com/en/fifa13winter/player/150408-declan-mcmanus","D. McManus")</f>
        <v>D. McManus</v>
      </c>
      <c s="7" r="I29">
        <v>57</v>
      </c>
      <c t="s" s="7" r="J29">
        <v>129</v>
      </c>
      <c t="s" s="7" r="K29">
        <v>114</v>
      </c>
      <c t="s" s="7" r="L29">
        <v>151</v>
      </c>
      <c s="7" r="M29">
        <v>18</v>
      </c>
      <c s="26" r="N29">
        <v>0.3</v>
      </c>
      <c s="23" r="O29">
        <v>0.002</v>
      </c>
      <c s="7" r="P29"/>
      <c s="7" r="Q29"/>
      <c s="7" r="R29">
        <f>IF((P29&gt;0),O29,0)</f>
        <v>0</v>
      </c>
      <c t="str" r="S29">
        <f>CONCATENATE(F29,E29)</f>
        <v>AberdeenAberdeen</v>
      </c>
    </row>
    <row r="30">
      <c t="s" s="7" r="A30">
        <v>33</v>
      </c>
      <c s="7" r="B30">
        <v>425</v>
      </c>
      <c s="7" r="C30">
        <v>39</v>
      </c>
      <c t="s" s="7" r="D30">
        <v>147</v>
      </c>
      <c t="s" s="7" r="E30">
        <v>34</v>
      </c>
      <c t="s" s="7" r="F30">
        <v>34</v>
      </c>
      <c t="s" s="7" r="G30">
        <v>34</v>
      </c>
      <c t="str" s="65" r="H30">
        <f>HYPERLINK("http://sofifa.com/en/fifa13winter/player/150924-craig-storie","C. Storie")</f>
        <v>C. Storie</v>
      </c>
      <c s="7" r="I30">
        <v>51</v>
      </c>
      <c t="s" s="7" r="J30">
        <v>124</v>
      </c>
      <c t="s" s="7" r="K30">
        <v>139</v>
      </c>
      <c t="s" s="7" r="L30">
        <v>142</v>
      </c>
      <c s="7" r="M30">
        <v>16</v>
      </c>
      <c s="26" r="N30">
        <v>0.1</v>
      </c>
      <c s="23" r="O30">
        <v>0.001</v>
      </c>
      <c s="7" r="P30"/>
      <c s="7" r="Q30"/>
      <c s="7" r="R30">
        <f>IF((P30&gt;0),O30,0)</f>
        <v>0</v>
      </c>
      <c t="str" r="S30">
        <f>CONCATENATE(F30,E30)</f>
        <v>AberdeenAberdeen</v>
      </c>
    </row>
    <row r="31">
      <c t="s" s="7" r="A31">
        <v>43</v>
      </c>
      <c s="7" r="B31">
        <v>232</v>
      </c>
      <c s="7" r="C31">
        <v>1</v>
      </c>
      <c t="s" s="7" r="D31">
        <v>106</v>
      </c>
      <c t="s" s="7" r="E31">
        <v>44</v>
      </c>
      <c t="s" s="7" r="F31">
        <v>44</v>
      </c>
      <c t="s" s="7" r="G31">
        <v>44</v>
      </c>
      <c t="str" s="65" r="H31">
        <f>HYPERLINK("http://sofifa.com/en/fifa13winter/player/148962-jason-steele","J. Steele")</f>
        <v>J. Steele</v>
      </c>
      <c s="7" r="I31">
        <v>69</v>
      </c>
      <c t="s" s="7" r="J31">
        <v>106</v>
      </c>
      <c t="s" s="7" r="K31">
        <v>152</v>
      </c>
      <c t="s" s="7" r="L31">
        <v>153</v>
      </c>
      <c s="7" r="M31">
        <v>22</v>
      </c>
      <c s="26" r="N31">
        <v>1.5</v>
      </c>
      <c s="23" r="O31">
        <v>0.006</v>
      </c>
      <c s="7" r="P31"/>
      <c s="7" r="Q31"/>
      <c s="7" r="R31">
        <f>IF((P31&gt;0),O31,0)</f>
        <v>0</v>
      </c>
      <c t="str" r="S31">
        <f>CONCATENATE(F31,E31)</f>
        <v>MiddlesbroughMiddlesbrough</v>
      </c>
    </row>
    <row r="32">
      <c t="s" s="7" r="A32">
        <v>43</v>
      </c>
      <c s="7" r="B32">
        <v>233</v>
      </c>
      <c s="7" r="C32">
        <v>2</v>
      </c>
      <c t="s" s="7" r="D32">
        <v>109</v>
      </c>
      <c t="s" s="7" r="E32">
        <v>44</v>
      </c>
      <c t="s" s="7" r="F32">
        <v>44</v>
      </c>
      <c t="s" s="7" r="G32">
        <v>44</v>
      </c>
      <c t="str" s="65" r="H32">
        <f>HYPERLINK("http://sofifa.com/en/fifa13winter/player/146865-justin-hoyte","J. Hoyte")</f>
        <v>J. Hoyte</v>
      </c>
      <c s="7" r="I32">
        <v>66</v>
      </c>
      <c t="s" s="7" r="J32">
        <v>109</v>
      </c>
      <c t="s" s="7" r="K32">
        <v>114</v>
      </c>
      <c t="s" s="7" r="L32">
        <v>115</v>
      </c>
      <c s="7" r="M32">
        <v>27</v>
      </c>
      <c s="26" r="N32">
        <v>1.1</v>
      </c>
      <c s="23" r="O32">
        <v>0.005</v>
      </c>
      <c s="7" r="P32"/>
      <c s="7" r="Q32"/>
      <c s="7" r="R32">
        <f>IF((P32&gt;0),O32,0)</f>
        <v>0</v>
      </c>
      <c t="str" r="S32">
        <f>CONCATENATE(F32,E32)</f>
        <v>MiddlesbroughMiddlesbrough</v>
      </c>
    </row>
    <row r="33">
      <c t="s" s="7" r="A33">
        <v>43</v>
      </c>
      <c s="7" r="B33">
        <v>234</v>
      </c>
      <c s="7" r="C33">
        <v>39</v>
      </c>
      <c t="s" s="7" r="D33">
        <v>112</v>
      </c>
      <c t="s" s="7" r="E33">
        <v>44</v>
      </c>
      <c t="s" s="7" r="F33">
        <v>44</v>
      </c>
      <c t="s" s="7" r="G33">
        <v>44</v>
      </c>
      <c t="str" s="65" r="H33">
        <f>HYPERLINK("http://sofifa.com/en/fifa13winter/player/145101-jonathan-woodgate","J. Woodgate")</f>
        <v>J. Woodgate</v>
      </c>
      <c s="7" r="I33">
        <v>73</v>
      </c>
      <c t="s" s="7" r="J33">
        <v>113</v>
      </c>
      <c t="s" s="7" r="K33">
        <v>110</v>
      </c>
      <c t="s" s="7" r="L33">
        <v>153</v>
      </c>
      <c s="7" r="M33">
        <v>32</v>
      </c>
      <c s="26" r="N33">
        <v>2.2</v>
      </c>
      <c s="23" r="O33">
        <v>0.012</v>
      </c>
      <c s="7" r="P33"/>
      <c s="7" r="Q33"/>
      <c s="7" r="R33">
        <f>IF((P33&gt;0),O33,0)</f>
        <v>0</v>
      </c>
      <c t="str" r="S33">
        <f>CONCATENATE(F33,E33)</f>
        <v>MiddlesbroughMiddlesbrough</v>
      </c>
    </row>
    <row r="34">
      <c t="s" s="7" r="A34">
        <v>43</v>
      </c>
      <c s="7" r="B34">
        <v>235</v>
      </c>
      <c s="7" r="C34">
        <v>14</v>
      </c>
      <c t="s" s="7" r="D34">
        <v>116</v>
      </c>
      <c t="s" s="7" r="E34">
        <v>44</v>
      </c>
      <c t="s" s="7" r="F34">
        <v>44</v>
      </c>
      <c t="s" s="7" r="G34">
        <v>44</v>
      </c>
      <c t="str" s="65" r="H34">
        <f>HYPERLINK("http://sofifa.com/en/fifa13winter/player/148197-rhys-williams","R. Williams")</f>
        <v>R. Williams</v>
      </c>
      <c s="7" r="I34">
        <v>72</v>
      </c>
      <c t="s" s="7" r="J34">
        <v>154</v>
      </c>
      <c t="s" s="7" r="K34">
        <v>155</v>
      </c>
      <c t="s" s="7" r="L34">
        <v>119</v>
      </c>
      <c s="7" r="M34">
        <v>24</v>
      </c>
      <c s="26" r="N34">
        <v>2.5</v>
      </c>
      <c s="23" r="O34">
        <v>0.009</v>
      </c>
      <c s="7" r="P34"/>
      <c s="7" r="Q34"/>
      <c s="7" r="R34">
        <f>IF((P34&gt;0),O34,0)</f>
        <v>0</v>
      </c>
      <c t="str" r="S34">
        <f>CONCATENATE(F34,E34)</f>
        <v>MiddlesbroughMiddlesbrough</v>
      </c>
    </row>
    <row r="35">
      <c t="s" s="7" r="A35">
        <v>43</v>
      </c>
      <c s="7" r="B35">
        <v>236</v>
      </c>
      <c s="7" r="C35">
        <v>4</v>
      </c>
      <c t="s" s="7" r="D35">
        <v>117</v>
      </c>
      <c t="s" s="7" r="E35">
        <v>44</v>
      </c>
      <c t="s" s="7" r="F35">
        <v>44</v>
      </c>
      <c t="s" s="7" r="G35">
        <v>44</v>
      </c>
      <c t="str" s="65" r="H35">
        <f>HYPERLINK("http://sofifa.com/en/fifa13winter/player/147928-george-friend","G. Friend")</f>
        <v>G. Friend</v>
      </c>
      <c s="7" r="I35">
        <v>65</v>
      </c>
      <c t="s" s="7" r="J35">
        <v>117</v>
      </c>
      <c t="s" s="7" r="K35">
        <v>134</v>
      </c>
      <c t="s" s="7" r="L35">
        <v>156</v>
      </c>
      <c s="7" r="M35">
        <v>24</v>
      </c>
      <c s="26" r="N35">
        <v>0.9</v>
      </c>
      <c s="23" r="O35">
        <v>0.005</v>
      </c>
      <c s="7" r="P35"/>
      <c s="7" r="Q35"/>
      <c s="7" r="R35">
        <f>IF((P35&gt;0),O35,0)</f>
        <v>0</v>
      </c>
      <c t="str" r="S35">
        <f>CONCATENATE(F35,E35)</f>
        <v>MiddlesbroughMiddlesbrough</v>
      </c>
    </row>
    <row r="36">
      <c t="s" s="7" r="A36">
        <v>43</v>
      </c>
      <c s="7" r="B36">
        <v>237</v>
      </c>
      <c s="7" r="C36">
        <v>11</v>
      </c>
      <c t="s" s="7" r="D36">
        <v>120</v>
      </c>
      <c t="s" s="7" r="E36">
        <v>44</v>
      </c>
      <c t="s" s="7" r="F36">
        <v>44</v>
      </c>
      <c t="s" s="7" r="G36">
        <v>44</v>
      </c>
      <c t="str" s="65" r="H36">
        <f>HYPERLINK("http://sofifa.com/en/fifa13winter/player/148146-emmanuel-ledesma","E. Ledesma")</f>
        <v>E. Ledesma</v>
      </c>
      <c s="7" r="I36">
        <v>67</v>
      </c>
      <c t="s" s="7" r="J36">
        <v>157</v>
      </c>
      <c t="s" s="7" r="K36">
        <v>110</v>
      </c>
      <c t="s" s="7" r="L36">
        <v>119</v>
      </c>
      <c s="7" r="M36">
        <v>24</v>
      </c>
      <c s="26" r="N36">
        <v>1.5</v>
      </c>
      <c s="23" r="O36">
        <v>0.006</v>
      </c>
      <c s="7" r="P36"/>
      <c s="7" r="Q36"/>
      <c s="7" r="R36">
        <f>IF((P36&gt;0),O36,0)</f>
        <v>0</v>
      </c>
      <c t="str" r="S36">
        <f>CONCATENATE(F36,E36)</f>
        <v>MiddlesbroughMiddlesbrough</v>
      </c>
    </row>
    <row r="37">
      <c t="s" s="7" r="A37">
        <v>43</v>
      </c>
      <c s="7" r="B37">
        <v>238</v>
      </c>
      <c s="7" r="C37">
        <v>7</v>
      </c>
      <c t="s" s="7" r="D37">
        <v>123</v>
      </c>
      <c t="s" s="7" r="E37">
        <v>44</v>
      </c>
      <c t="s" s="7" r="F37">
        <v>44</v>
      </c>
      <c t="s" s="7" r="G37">
        <v>44</v>
      </c>
      <c t="str" s="65" r="H37">
        <f>HYPERLINK("http://sofifa.com/en/fifa13winter/player/147278-grant-leadbitter","G. Leadbitter")</f>
        <v>G. Leadbitter</v>
      </c>
      <c s="7" r="I37">
        <v>65</v>
      </c>
      <c t="s" s="7" r="J37">
        <v>124</v>
      </c>
      <c t="s" s="7" r="K37">
        <v>118</v>
      </c>
      <c t="s" s="7" r="L37">
        <v>158</v>
      </c>
      <c s="7" r="M37">
        <v>26</v>
      </c>
      <c s="26" r="N37">
        <v>0.9</v>
      </c>
      <c s="23" r="O37">
        <v>0.005</v>
      </c>
      <c s="7" r="P37"/>
      <c s="7" r="Q37"/>
      <c s="7" r="R37">
        <f>IF((P37&gt;0),O37,0)</f>
        <v>0</v>
      </c>
      <c t="str" r="S37">
        <f>CONCATENATE(F37,E37)</f>
        <v>MiddlesbroughMiddlesbrough</v>
      </c>
    </row>
    <row r="38">
      <c t="s" s="7" r="A38">
        <v>43</v>
      </c>
      <c s="7" r="B38">
        <v>239</v>
      </c>
      <c s="7" r="C38">
        <v>33</v>
      </c>
      <c t="s" s="7" r="D38">
        <v>126</v>
      </c>
      <c t="s" s="7" r="E38">
        <v>44</v>
      </c>
      <c t="s" s="7" r="F38">
        <v>44</v>
      </c>
      <c t="s" s="7" r="G38">
        <v>44</v>
      </c>
      <c t="str" s="65" r="H38">
        <f>HYPERLINK("http://sofifa.com/en/fifa13winter/player/149095-richard-smallwood","R. Smallwood")</f>
        <v>R. Smallwood</v>
      </c>
      <c s="7" r="I38">
        <v>60</v>
      </c>
      <c t="s" s="7" r="J38">
        <v>124</v>
      </c>
      <c t="s" s="7" r="K38">
        <v>114</v>
      </c>
      <c t="s" s="7" r="L38">
        <v>146</v>
      </c>
      <c s="7" r="M38">
        <v>21</v>
      </c>
      <c s="26" r="N38">
        <v>0.5</v>
      </c>
      <c s="23" r="O38">
        <v>0.003</v>
      </c>
      <c s="7" r="P38"/>
      <c s="7" r="Q38"/>
      <c s="7" r="R38">
        <f>IF((P38&gt;0),O38,0)</f>
        <v>0</v>
      </c>
      <c t="str" r="S38">
        <f>CONCATENATE(F38,E38)</f>
        <v>MiddlesbroughMiddlesbrough</v>
      </c>
    </row>
    <row r="39">
      <c t="s" s="7" r="A39">
        <v>43</v>
      </c>
      <c s="7" r="B39">
        <v>240</v>
      </c>
      <c s="7" r="C39">
        <v>19</v>
      </c>
      <c t="s" s="7" r="D39">
        <v>128</v>
      </c>
      <c t="s" s="7" r="E39">
        <v>44</v>
      </c>
      <c t="s" s="7" r="F39">
        <v>44</v>
      </c>
      <c t="s" s="7" r="G39">
        <v>44</v>
      </c>
      <c t="str" s="65" r="H39">
        <f>HYPERLINK("http://sofifa.com/en/fifa13winter/player/148528-mustapha-carayol","M. Carayol")</f>
        <v>M. Carayol</v>
      </c>
      <c s="7" r="I39">
        <v>65</v>
      </c>
      <c t="s" s="7" r="J39">
        <v>128</v>
      </c>
      <c t="s" s="7" r="K39">
        <v>159</v>
      </c>
      <c t="s" s="7" r="L39">
        <v>160</v>
      </c>
      <c s="7" r="M39">
        <v>23</v>
      </c>
      <c s="26" r="N39">
        <v>1.1</v>
      </c>
      <c s="23" r="O39">
        <v>0.005</v>
      </c>
      <c s="7" r="P39"/>
      <c s="7" r="Q39"/>
      <c s="7" r="R39">
        <f>IF((P39&gt;0),O39,0)</f>
        <v>0</v>
      </c>
      <c t="str" r="S39">
        <f>CONCATENATE(F39,E39)</f>
        <v>MiddlesbroughMiddlesbrough</v>
      </c>
    </row>
    <row r="40">
      <c t="s" s="7" r="A40">
        <v>43</v>
      </c>
      <c s="7" r="B40">
        <v>241</v>
      </c>
      <c s="7" r="C40">
        <v>17</v>
      </c>
      <c t="s" s="7" r="D40">
        <v>131</v>
      </c>
      <c t="s" s="7" r="E40">
        <v>44</v>
      </c>
      <c t="s" s="7" r="F40">
        <v>44</v>
      </c>
      <c t="s" s="7" r="G40">
        <v>44</v>
      </c>
      <c t="str" s="65" r="H40">
        <f>HYPERLINK("http://sofifa.com/en/fifa13winter/player/148454-lukas-jutkiewicz","L. Jutkiewicz")</f>
        <v>L. Jutkiewicz</v>
      </c>
      <c s="7" r="I40">
        <v>69</v>
      </c>
      <c t="s" s="7" r="J40">
        <v>129</v>
      </c>
      <c t="s" s="7" r="K40">
        <v>132</v>
      </c>
      <c t="s" s="7" r="L40">
        <v>119</v>
      </c>
      <c s="7" r="M40">
        <v>23</v>
      </c>
      <c s="26" r="N40">
        <v>2.2</v>
      </c>
      <c s="23" r="O40">
        <v>0.006</v>
      </c>
      <c s="7" r="P40"/>
      <c s="7" r="Q40"/>
      <c s="7" r="R40">
        <f>IF((P40&gt;0),O40,0)</f>
        <v>0</v>
      </c>
      <c t="str" r="S40">
        <f>CONCATENATE(F40,E40)</f>
        <v>MiddlesbroughMiddlesbrough</v>
      </c>
    </row>
    <row r="41">
      <c t="s" s="7" r="A41">
        <v>43</v>
      </c>
      <c s="7" r="B41">
        <v>242</v>
      </c>
      <c s="7" r="C41">
        <v>27</v>
      </c>
      <c t="s" s="7" r="D41">
        <v>133</v>
      </c>
      <c t="s" s="7" r="E41">
        <v>44</v>
      </c>
      <c t="s" s="7" r="F41">
        <v>44</v>
      </c>
      <c t="s" s="7" r="G41">
        <v>44</v>
      </c>
      <c t="str" s="65" r="H41">
        <f>HYPERLINK("http://sofifa.com/en/fifa13winter/player/146408-scott-mcdonald","S. McDonald")</f>
        <v>S. McDonald</v>
      </c>
      <c s="7" r="I41">
        <v>69</v>
      </c>
      <c t="s" s="7" r="J41">
        <v>129</v>
      </c>
      <c t="s" s="7" r="K41">
        <v>130</v>
      </c>
      <c t="s" s="7" r="L41">
        <v>161</v>
      </c>
      <c s="7" r="M41">
        <v>29</v>
      </c>
      <c s="26" r="N41">
        <v>1.9</v>
      </c>
      <c s="23" r="O41">
        <v>0.007</v>
      </c>
      <c s="7" r="P41"/>
      <c s="7" r="Q41"/>
      <c s="7" r="R41">
        <f>IF((P41&gt;0),O41,0)</f>
        <v>0</v>
      </c>
      <c t="str" r="S41">
        <f>CONCATENATE(F41,E41)</f>
        <v>MiddlesbroughMiddlesbrough</v>
      </c>
    </row>
    <row r="42">
      <c t="s" s="7" r="A42">
        <v>43</v>
      </c>
      <c s="7" r="B42">
        <v>243</v>
      </c>
      <c s="7" r="C42">
        <v>38</v>
      </c>
      <c t="s" s="7" r="D42">
        <v>136</v>
      </c>
      <c t="s" s="7" r="E42">
        <v>44</v>
      </c>
      <c t="s" s="7" r="F42">
        <v>44</v>
      </c>
      <c t="s" s="7" r="G42">
        <v>44</v>
      </c>
      <c t="str" s="65" r="H42">
        <f>HYPERLINK("http://sofifa.com/en/fifa13winter/player/147171-faris-haroun","F. Haroun")</f>
        <v>F. Haroun</v>
      </c>
      <c s="7" r="I42">
        <v>67</v>
      </c>
      <c t="s" s="7" r="J42">
        <v>162</v>
      </c>
      <c t="s" s="7" r="K42">
        <v>134</v>
      </c>
      <c t="s" s="7" r="L42">
        <v>119</v>
      </c>
      <c s="7" r="M42">
        <v>26</v>
      </c>
      <c s="26" r="N42">
        <v>1.5</v>
      </c>
      <c s="23" r="O42">
        <v>0.006</v>
      </c>
      <c s="7" r="P42"/>
      <c s="7" r="Q42"/>
      <c s="7" r="R42">
        <f>IF((P42&gt;0),O42,0)</f>
        <v>0</v>
      </c>
      <c t="str" r="S42">
        <f>CONCATENATE(F42,E42)</f>
        <v>MiddlesbroughMiddlesbrough</v>
      </c>
    </row>
    <row r="43">
      <c t="s" s="7" r="A43">
        <v>43</v>
      </c>
      <c s="7" r="B43">
        <v>244</v>
      </c>
      <c s="7" r="C43">
        <v>18</v>
      </c>
      <c t="s" s="7" r="D43">
        <v>136</v>
      </c>
      <c t="s" s="7" r="E43">
        <v>44</v>
      </c>
      <c t="s" s="7" r="F43">
        <v>44</v>
      </c>
      <c t="s" s="7" r="G43">
        <v>44</v>
      </c>
      <c t="str" s="65" r="H43">
        <f>HYPERLINK("http://sofifa.com/en/fifa13winter/player/149388-andy-halliday","A. Halliday")</f>
        <v>A. Halliday</v>
      </c>
      <c s="7" r="I43">
        <v>62</v>
      </c>
      <c t="s" s="7" r="J43">
        <v>117</v>
      </c>
      <c t="s" s="7" r="K43">
        <v>130</v>
      </c>
      <c t="s" s="7" r="L43">
        <v>163</v>
      </c>
      <c s="7" r="M43">
        <v>20</v>
      </c>
      <c s="26" r="N43">
        <v>0.7</v>
      </c>
      <c s="23" r="O43">
        <v>0.003</v>
      </c>
      <c s="7" r="P43"/>
      <c s="7" r="Q43"/>
      <c s="7" r="R43">
        <f>IF((P43&gt;0),O43,0)</f>
        <v>0</v>
      </c>
      <c t="str" r="S43">
        <f>CONCATENATE(F43,E43)</f>
        <v>MiddlesbroughMiddlesbrough</v>
      </c>
    </row>
    <row r="44">
      <c t="s" s="7" r="A44">
        <v>43</v>
      </c>
      <c s="7" r="B44">
        <v>245</v>
      </c>
      <c s="7" r="C44">
        <v>24</v>
      </c>
      <c t="s" s="7" r="D44">
        <v>136</v>
      </c>
      <c t="s" s="7" r="E44">
        <v>44</v>
      </c>
      <c t="s" s="7" r="F44">
        <v>44</v>
      </c>
      <c t="s" s="7" r="G44">
        <v>44</v>
      </c>
      <c t="str" s="65" r="H44">
        <f>HYPERLINK("http://sofifa.com/en/fifa13winter/player/149650-cameron-park","C. Park")</f>
        <v>C. Park</v>
      </c>
      <c s="7" r="I44">
        <v>60</v>
      </c>
      <c t="s" s="7" r="J44">
        <v>128</v>
      </c>
      <c t="s" s="7" r="K44">
        <v>145</v>
      </c>
      <c t="s" s="7" r="L44">
        <v>142</v>
      </c>
      <c s="7" r="M44">
        <v>20</v>
      </c>
      <c s="26" r="N44">
        <v>0.6</v>
      </c>
      <c s="23" r="O44">
        <v>0.003</v>
      </c>
      <c s="7" r="P44"/>
      <c s="7" r="Q44"/>
      <c s="7" r="R44">
        <f>IF((P44&gt;0),O44,0)</f>
        <v>0</v>
      </c>
      <c t="str" r="S44">
        <f>CONCATENATE(F44,E44)</f>
        <v>MiddlesbroughMiddlesbrough</v>
      </c>
    </row>
    <row r="45">
      <c t="s" s="7" r="A45">
        <v>43</v>
      </c>
      <c s="7" r="B45">
        <v>246</v>
      </c>
      <c s="7" r="C45">
        <v>22</v>
      </c>
      <c t="s" s="7" r="D45">
        <v>136</v>
      </c>
      <c t="s" s="7" r="E45">
        <v>44</v>
      </c>
      <c t="s" s="7" r="F45">
        <v>44</v>
      </c>
      <c t="s" s="7" r="G45">
        <v>44</v>
      </c>
      <c t="str" s="65" r="H45">
        <f>HYPERLINK("http://sofifa.com/en/fifa13winter/player/149990-luke-williams","L. Williams")</f>
        <v>L. Williams</v>
      </c>
      <c s="7" r="I45">
        <v>59</v>
      </c>
      <c t="s" s="7" r="J45">
        <v>129</v>
      </c>
      <c t="s" s="7" r="K45">
        <v>132</v>
      </c>
      <c t="s" s="7" r="L45">
        <v>119</v>
      </c>
      <c s="7" r="M45">
        <v>19</v>
      </c>
      <c s="26" r="N45">
        <v>0.5</v>
      </c>
      <c s="23" r="O45">
        <v>0.002</v>
      </c>
      <c s="7" r="P45"/>
      <c s="7" r="Q45"/>
      <c s="7" r="R45">
        <f>IF((P45&gt;0),O45,0)</f>
        <v>0</v>
      </c>
      <c t="str" r="S45">
        <f>CONCATENATE(F45,E45)</f>
        <v>MiddlesbroughMiddlesbrough</v>
      </c>
    </row>
    <row r="46">
      <c t="s" s="7" r="A46">
        <v>43</v>
      </c>
      <c s="7" r="B46">
        <v>247</v>
      </c>
      <c s="7" r="C46">
        <v>25</v>
      </c>
      <c t="s" s="7" r="D46">
        <v>136</v>
      </c>
      <c t="s" s="7" r="E46">
        <v>44</v>
      </c>
      <c t="s" s="7" r="F46">
        <v>44</v>
      </c>
      <c t="s" s="7" r="G46">
        <v>44</v>
      </c>
      <c t="str" s="65" r="H46">
        <f>HYPERLINK("http://sofifa.com/en/fifa13winter/player/149862-adam-reach","A. Reach")</f>
        <v>A. Reach</v>
      </c>
      <c s="7" r="I46">
        <v>58</v>
      </c>
      <c t="s" s="7" r="J46">
        <v>128</v>
      </c>
      <c t="s" s="7" r="K46">
        <v>132</v>
      </c>
      <c t="s" s="7" r="L46">
        <v>160</v>
      </c>
      <c s="7" r="M46">
        <v>19</v>
      </c>
      <c s="26" r="N46">
        <v>0.3</v>
      </c>
      <c s="23" r="O46">
        <v>0.002</v>
      </c>
      <c s="7" r="P46"/>
      <c s="7" r="Q46"/>
      <c s="7" r="R46">
        <f>IF((P46&gt;0),O46,0)</f>
        <v>0</v>
      </c>
      <c t="str" r="S46">
        <f>CONCATENATE(F46,E46)</f>
        <v>MiddlesbroughMiddlesbrough</v>
      </c>
    </row>
    <row r="47">
      <c t="s" s="7" r="A47">
        <v>43</v>
      </c>
      <c s="7" r="B47">
        <v>248</v>
      </c>
      <c s="7" r="C47">
        <v>23</v>
      </c>
      <c t="s" s="7" r="D47">
        <v>136</v>
      </c>
      <c t="s" s="7" r="E47">
        <v>44</v>
      </c>
      <c t="s" s="7" r="F47">
        <v>44</v>
      </c>
      <c t="s" s="7" r="G47">
        <v>44</v>
      </c>
      <c t="str" s="65" r="H47">
        <f>HYPERLINK("http://sofifa.com/en/fifa13winter/player/149634-curtis-main","C. Main")</f>
        <v>C. Main</v>
      </c>
      <c s="7" r="I47">
        <v>59</v>
      </c>
      <c t="s" s="7" r="J47">
        <v>129</v>
      </c>
      <c t="s" s="7" r="K47">
        <v>118</v>
      </c>
      <c t="s" s="7" r="L47">
        <v>163</v>
      </c>
      <c s="7" r="M47">
        <v>20</v>
      </c>
      <c s="26" r="N47">
        <v>0.5</v>
      </c>
      <c s="23" r="O47">
        <v>0.002</v>
      </c>
      <c s="7" r="P47"/>
      <c s="7" r="Q47"/>
      <c s="7" r="R47">
        <f>IF((P47&gt;0),O47,0)</f>
        <v>0</v>
      </c>
      <c t="str" r="S47">
        <f>CONCATENATE(F47,E47)</f>
        <v>MiddlesbroughMiddlesbrough</v>
      </c>
    </row>
    <row r="48">
      <c t="s" s="7" r="A48">
        <v>43</v>
      </c>
      <c s="7" r="B48">
        <v>249</v>
      </c>
      <c s="7" r="C48">
        <v>21</v>
      </c>
      <c t="s" s="7" r="D48">
        <v>136</v>
      </c>
      <c t="s" s="7" r="E48">
        <v>44</v>
      </c>
      <c t="s" s="7" r="F48">
        <v>44</v>
      </c>
      <c t="s" s="7" r="G48">
        <v>44</v>
      </c>
      <c t="str" s="65" r="H48">
        <f>HYPERLINK("http://sofifa.com/en/fifa13winter/player/146010-stuart-parnaby","S. Parnaby")</f>
        <v>S. Parnaby</v>
      </c>
      <c s="7" r="I48">
        <v>65</v>
      </c>
      <c t="s" s="7" r="J48">
        <v>109</v>
      </c>
      <c t="s" s="7" r="K48">
        <v>150</v>
      </c>
      <c t="s" s="7" r="L48">
        <v>138</v>
      </c>
      <c s="7" r="M48">
        <v>30</v>
      </c>
      <c s="26" r="N48">
        <v>0.8</v>
      </c>
      <c s="23" r="O48">
        <v>0.005</v>
      </c>
      <c s="7" r="P48"/>
      <c s="7" r="Q48"/>
      <c s="7" r="R48">
        <f>IF((P48&gt;0),O48,0)</f>
        <v>0</v>
      </c>
      <c t="str" r="S48">
        <f>CONCATENATE(F48,E48)</f>
        <v>MiddlesbroughMiddlesbrough</v>
      </c>
    </row>
    <row r="49">
      <c t="s" s="7" r="A49">
        <v>43</v>
      </c>
      <c s="7" r="B49">
        <v>250</v>
      </c>
      <c s="7" r="C49">
        <v>9</v>
      </c>
      <c t="s" s="7" r="D49">
        <v>136</v>
      </c>
      <c t="s" s="7" r="E49">
        <v>44</v>
      </c>
      <c t="s" s="7" r="F49">
        <v>44</v>
      </c>
      <c t="s" s="7" r="G49">
        <v>44</v>
      </c>
      <c t="str" s="65" r="H49">
        <f>HYPERLINK("http://sofifa.com/en/fifa13winter/player/148149-marvin-emnes","M. Emnes")</f>
        <v>M. Emnes</v>
      </c>
      <c s="7" r="I49">
        <v>71</v>
      </c>
      <c t="s" s="7" r="J49">
        <v>129</v>
      </c>
      <c t="s" s="7" r="K49">
        <v>114</v>
      </c>
      <c t="s" s="7" r="L49">
        <v>125</v>
      </c>
      <c s="7" r="M49">
        <v>24</v>
      </c>
      <c s="26" r="N49">
        <v>2.7</v>
      </c>
      <c s="23" r="O49">
        <v>0.008</v>
      </c>
      <c s="7" r="P49"/>
      <c s="7" r="Q49"/>
      <c s="7" r="R49">
        <f>IF((P49&gt;0),O49,0)</f>
        <v>0</v>
      </c>
      <c t="str" r="S49">
        <f>CONCATENATE(F49,E49)</f>
        <v>MiddlesbroughMiddlesbrough</v>
      </c>
    </row>
    <row r="50">
      <c t="s" s="7" r="A50">
        <v>43</v>
      </c>
      <c s="7" r="B50">
        <v>251</v>
      </c>
      <c s="7" r="C50">
        <v>5</v>
      </c>
      <c t="s" s="7" r="D50">
        <v>136</v>
      </c>
      <c t="s" s="7" r="E50">
        <v>44</v>
      </c>
      <c t="s" s="7" r="F50">
        <v>44</v>
      </c>
      <c t="s" s="7" r="G50">
        <v>44</v>
      </c>
      <c t="str" s="65" r="H50">
        <f>HYPERLINK("http://sofifa.com/en/fifa13winter/player/146455-merouane-zemmama","M. Zemmama")</f>
        <v>M. Zemmama</v>
      </c>
      <c s="7" r="I50">
        <v>67</v>
      </c>
      <c t="s" s="7" r="J50">
        <v>162</v>
      </c>
      <c t="s" s="7" r="K50">
        <v>121</v>
      </c>
      <c t="s" s="7" r="L50">
        <v>164</v>
      </c>
      <c s="7" r="M50">
        <v>28</v>
      </c>
      <c s="26" r="N50">
        <v>1.5</v>
      </c>
      <c s="23" r="O50">
        <v>0.006</v>
      </c>
      <c s="7" r="P50"/>
      <c s="7" r="Q50"/>
      <c s="7" r="R50">
        <f>IF((P50&gt;0),O50,0)</f>
        <v>0</v>
      </c>
      <c t="str" r="S50">
        <f>CONCATENATE(F50,E50)</f>
        <v>MiddlesbroughMiddlesbrough</v>
      </c>
    </row>
    <row r="51">
      <c t="s" s="7" r="A51">
        <v>43</v>
      </c>
      <c s="7" r="B51">
        <v>252</v>
      </c>
      <c s="7" r="C51">
        <v>15</v>
      </c>
      <c t="s" s="7" r="D51">
        <v>136</v>
      </c>
      <c t="s" s="7" r="E51">
        <v>44</v>
      </c>
      <c t="s" s="7" r="F51">
        <v>44</v>
      </c>
      <c t="s" s="7" r="G51">
        <v>44</v>
      </c>
      <c t="str" s="65" r="H51">
        <f>HYPERLINK("http://sofifa.com/en/fifa13winter/player/148151-seb-hines","S. Hines")</f>
        <v>S. Hines</v>
      </c>
      <c s="7" r="I51">
        <v>66</v>
      </c>
      <c t="s" s="7" r="J51">
        <v>113</v>
      </c>
      <c t="s" s="7" r="K51">
        <v>134</v>
      </c>
      <c t="s" s="7" r="L51">
        <v>161</v>
      </c>
      <c s="7" r="M51">
        <v>24</v>
      </c>
      <c s="26" r="N51">
        <v>1.2</v>
      </c>
      <c s="23" r="O51">
        <v>0.005</v>
      </c>
      <c s="7" r="P51"/>
      <c s="7" r="Q51"/>
      <c s="7" r="R51">
        <f>IF((P51&gt;0),O51,0)</f>
        <v>0</v>
      </c>
      <c t="str" r="S51">
        <f>CONCATENATE(F51,E51)</f>
        <v>MiddlesbroughMiddlesbrough</v>
      </c>
    </row>
    <row r="52">
      <c t="s" s="7" r="A52">
        <v>43</v>
      </c>
      <c s="7" r="B52">
        <v>253</v>
      </c>
      <c s="7" r="C52">
        <v>32</v>
      </c>
      <c t="s" s="7" r="D52">
        <v>136</v>
      </c>
      <c t="s" s="7" r="E52">
        <v>44</v>
      </c>
      <c t="s" s="7" r="F52">
        <v>44</v>
      </c>
      <c t="s" s="7" r="G52">
        <v>44</v>
      </c>
      <c t="str" s="65" r="H52">
        <f>HYPERLINK("http://sofifa.com/en/fifa13winter/player/148482-jayson-leutwiler","J. Leutwiler")</f>
        <v>J. Leutwiler</v>
      </c>
      <c s="7" r="I52">
        <v>59</v>
      </c>
      <c t="s" s="7" r="J52">
        <v>106</v>
      </c>
      <c t="s" s="7" r="K52">
        <v>165</v>
      </c>
      <c t="s" s="7" r="L52">
        <v>153</v>
      </c>
      <c s="7" r="M52">
        <v>23</v>
      </c>
      <c s="26" r="N52">
        <v>0.3</v>
      </c>
      <c s="23" r="O52">
        <v>0.003</v>
      </c>
      <c s="7" r="P52"/>
      <c s="7" r="Q52"/>
      <c s="7" r="R52">
        <f>IF((P52&gt;0),O52,0)</f>
        <v>0</v>
      </c>
      <c t="str" r="S52">
        <f>CONCATENATE(F52,E52)</f>
        <v>MiddlesbroughMiddlesbrough</v>
      </c>
    </row>
    <row r="53">
      <c t="s" s="7" r="A53">
        <v>43</v>
      </c>
      <c s="7" r="B53">
        <v>254</v>
      </c>
      <c s="7" r="C53">
        <v>3</v>
      </c>
      <c t="s" s="7" r="D53">
        <v>136</v>
      </c>
      <c t="s" s="7" r="E53">
        <v>44</v>
      </c>
      <c t="s" s="7" r="F53">
        <v>44</v>
      </c>
      <c t="s" s="7" r="G53">
        <v>44</v>
      </c>
      <c t="str" s="65" r="H53">
        <f>HYPERLINK("http://sofifa.com/en/fifa13winter/player/146914-andre-bikey","A. Bikey")</f>
        <v>A. Bikey</v>
      </c>
      <c s="7" r="I53">
        <v>68</v>
      </c>
      <c t="s" s="7" r="J53">
        <v>113</v>
      </c>
      <c t="s" s="7" r="K53">
        <v>110</v>
      </c>
      <c t="s" s="7" r="L53">
        <v>153</v>
      </c>
      <c s="7" r="M53">
        <v>27</v>
      </c>
      <c s="26" r="N53">
        <v>1.5</v>
      </c>
      <c s="23" r="O53">
        <v>0.006</v>
      </c>
      <c s="7" r="P53"/>
      <c s="7" r="Q53"/>
      <c s="7" r="R53">
        <f>IF((P53&gt;0),O53,0)</f>
        <v>0</v>
      </c>
      <c t="str" r="S53">
        <f>CONCATENATE(F53,E53)</f>
        <v>MiddlesbroughMiddlesbrough</v>
      </c>
    </row>
    <row r="54">
      <c t="s" s="7" r="A54">
        <v>43</v>
      </c>
      <c s="7" r="B54">
        <v>255</v>
      </c>
      <c s="7" r="C54">
        <v>40</v>
      </c>
      <c t="s" s="7" r="D54">
        <v>147</v>
      </c>
      <c t="s" s="7" r="E54">
        <v>44</v>
      </c>
      <c t="s" s="7" r="F54">
        <v>44</v>
      </c>
      <c t="s" s="7" r="G54">
        <v>44</v>
      </c>
      <c t="str" s="65" r="H54">
        <f>HYPERLINK("http://sofifa.com/en/fifa13winter/player/149843-ben-gibson","B. Gibson")</f>
        <v>B. Gibson</v>
      </c>
      <c s="7" r="I54">
        <v>54</v>
      </c>
      <c t="s" s="7" r="J54">
        <v>113</v>
      </c>
      <c t="s" s="7" r="K54">
        <v>132</v>
      </c>
      <c t="s" s="7" r="L54">
        <v>161</v>
      </c>
      <c s="7" r="M54">
        <v>19</v>
      </c>
      <c s="26" r="N54">
        <v>0.1</v>
      </c>
      <c s="23" r="O54">
        <v>0.002</v>
      </c>
      <c s="7" r="P54"/>
      <c s="7" r="Q54"/>
      <c s="7" r="R54">
        <f>IF((P54&gt;0),O54,0)</f>
        <v>0</v>
      </c>
      <c t="str" r="S54">
        <f>CONCATENATE(F54,E54)</f>
        <v>MiddlesbroughMiddlesbrough</v>
      </c>
    </row>
    <row r="55">
      <c t="s" s="7" r="A55">
        <v>43</v>
      </c>
      <c s="7" r="B55">
        <v>256</v>
      </c>
      <c s="7" r="C55">
        <v>31</v>
      </c>
      <c t="s" s="7" r="D55">
        <v>147</v>
      </c>
      <c t="s" s="7" r="E55">
        <v>44</v>
      </c>
      <c t="s" s="7" r="F55">
        <v>44</v>
      </c>
      <c t="s" s="7" r="G55">
        <v>44</v>
      </c>
      <c t="str" s="65" r="H55">
        <f>HYPERLINK("http://sofifa.com/en/fifa13winter/player/149872-connor-ripley","C. Ripley")</f>
        <v>C. Ripley</v>
      </c>
      <c s="7" r="I55">
        <v>60</v>
      </c>
      <c t="s" s="7" r="J55">
        <v>106</v>
      </c>
      <c t="s" s="7" r="K55">
        <v>144</v>
      </c>
      <c t="s" s="7" r="L55">
        <v>166</v>
      </c>
      <c s="7" r="M55">
        <v>19</v>
      </c>
      <c s="26" r="N55">
        <v>0.5</v>
      </c>
      <c s="23" r="O55">
        <v>0.003</v>
      </c>
      <c s="7" r="P55"/>
      <c s="7" r="Q55"/>
      <c s="7" r="R55">
        <f>IF((P55&gt;0),O55,0)</f>
        <v>0</v>
      </c>
      <c t="str" r="S55">
        <f>CONCATENATE(F55,E55)</f>
        <v>MiddlesbroughMiddlesbrough</v>
      </c>
    </row>
    <row r="56">
      <c t="s" s="7" r="A56">
        <v>43</v>
      </c>
      <c s="7" r="B56">
        <v>257</v>
      </c>
      <c s="7" r="C56">
        <v>53</v>
      </c>
      <c t="s" s="7" r="D56">
        <v>147</v>
      </c>
      <c t="s" s="7" r="E56">
        <v>44</v>
      </c>
      <c t="s" s="7" r="F56">
        <v>44</v>
      </c>
      <c t="s" s="7" r="G56">
        <v>44</v>
      </c>
      <c t="str" s="65" r="H56">
        <f>HYPERLINK("http://sofifa.com/en/fifa13winter/player/149803-charlie-wyke","C. Wyke")</f>
        <v>C. Wyke</v>
      </c>
      <c s="7" r="I56">
        <v>57</v>
      </c>
      <c t="s" s="7" r="J56">
        <v>129</v>
      </c>
      <c t="s" s="7" r="K56">
        <v>139</v>
      </c>
      <c t="s" s="7" r="L56">
        <v>122</v>
      </c>
      <c s="7" r="M56">
        <v>19</v>
      </c>
      <c s="26" r="N56">
        <v>0.3</v>
      </c>
      <c s="23" r="O56">
        <v>0.002</v>
      </c>
      <c s="7" r="P56"/>
      <c s="7" r="Q56"/>
      <c s="7" r="R56">
        <f>IF((P56&gt;0),O56,0)</f>
        <v>0</v>
      </c>
      <c t="str" r="S56">
        <f>CONCATENATE(F56,E56)</f>
        <v>MiddlesbroughMiddlesbrough</v>
      </c>
    </row>
    <row r="57">
      <c t="s" s="7" r="A57">
        <v>43</v>
      </c>
      <c s="7" r="B57">
        <v>258</v>
      </c>
      <c s="7" r="C57">
        <v>50</v>
      </c>
      <c t="s" s="7" r="D57">
        <v>147</v>
      </c>
      <c t="s" s="7" r="E57">
        <v>44</v>
      </c>
      <c t="s" s="7" r="F57">
        <v>44</v>
      </c>
      <c t="s" s="7" r="G57">
        <v>44</v>
      </c>
      <c t="str" s="65" r="H57">
        <f>HYPERLINK("http://sofifa.com/en/fifa13winter/player/150331-adam-jackson","A. Jackson")</f>
        <v>A. Jackson</v>
      </c>
      <c s="7" r="I57">
        <v>51</v>
      </c>
      <c t="s" s="7" r="J57">
        <v>113</v>
      </c>
      <c t="s" s="7" r="K57">
        <v>155</v>
      </c>
      <c t="s" s="7" r="L57">
        <v>153</v>
      </c>
      <c s="7" r="M57">
        <v>18</v>
      </c>
      <c s="26" r="N57">
        <v>0.1</v>
      </c>
      <c s="23" r="O57">
        <v>0.002</v>
      </c>
      <c s="7" r="P57"/>
      <c s="7" r="Q57"/>
      <c s="7" r="R57">
        <f>IF((P57&gt;0),O57,0)</f>
        <v>0</v>
      </c>
      <c t="str" r="S57">
        <f>CONCATENATE(F57,E57)</f>
        <v>MiddlesbroughMiddlesbrough</v>
      </c>
    </row>
    <row r="58">
      <c t="s" s="7" r="A58">
        <v>43</v>
      </c>
      <c s="7" r="B58">
        <v>259</v>
      </c>
      <c s="7" r="C58">
        <v>29</v>
      </c>
      <c t="s" s="7" r="D58">
        <v>147</v>
      </c>
      <c t="s" s="7" r="E58">
        <v>44</v>
      </c>
      <c t="s" s="7" r="F58">
        <v>44</v>
      </c>
      <c t="s" s="7" r="G58">
        <v>44</v>
      </c>
      <c t="str" s="65" r="H58">
        <f>HYPERLINK("http://sofifa.com/en/fifa13winter/player/151039-bryn-morris","B. Morris")</f>
        <v>B. Morris</v>
      </c>
      <c s="7" r="I58">
        <v>53</v>
      </c>
      <c t="s" s="7" r="J58">
        <v>124</v>
      </c>
      <c t="s" s="7" r="K58">
        <v>143</v>
      </c>
      <c t="s" s="7" r="L58">
        <v>142</v>
      </c>
      <c s="7" r="M58">
        <v>16</v>
      </c>
      <c s="26" r="N58">
        <v>0.1</v>
      </c>
      <c s="23" r="O58">
        <v>0.001</v>
      </c>
      <c s="7" r="P58"/>
      <c s="7" r="Q58"/>
      <c s="7" r="R58">
        <f>IF((P58&gt;0),O58,0)</f>
        <v>0</v>
      </c>
      <c t="str" r="S58">
        <f>CONCATENATE(F58,E58)</f>
        <v>MiddlesbroughMiddlesbrough</v>
      </c>
    </row>
    <row r="59">
      <c t="s" s="7" r="A59">
        <v>38</v>
      </c>
      <c s="7" r="B59">
        <v>371</v>
      </c>
      <c s="7" r="C59">
        <v>1</v>
      </c>
      <c t="s" s="7" r="D59">
        <v>106</v>
      </c>
      <c t="s" s="7" r="E59">
        <v>39</v>
      </c>
      <c t="s" s="7" r="F59">
        <v>39</v>
      </c>
      <c t="s" s="7" r="G59">
        <v>39</v>
      </c>
      <c t="str" s="65" r="H59">
        <f>HYPERLINK("http://sofifa.com/en/fifa13winter/player/144418-neil-alexander","N. Alexander")</f>
        <v>N. Alexander</v>
      </c>
      <c s="7" r="I59">
        <v>66</v>
      </c>
      <c t="s" s="7" r="J59">
        <v>106</v>
      </c>
      <c t="s" s="7" r="K59">
        <v>132</v>
      </c>
      <c t="s" s="7" r="L59">
        <v>160</v>
      </c>
      <c s="7" r="M59">
        <v>34</v>
      </c>
      <c s="26" r="N59">
        <v>0.6</v>
      </c>
      <c s="23" r="O59">
        <v>0.007</v>
      </c>
      <c s="7" r="P59"/>
      <c s="7" r="Q59"/>
      <c s="7" r="R59">
        <f>IF((P59&gt;0),O59,0)</f>
        <v>0</v>
      </c>
      <c t="str" r="S59">
        <f>CONCATENATE(F59,E59)</f>
        <v>RangersRangers</v>
      </c>
    </row>
    <row r="60">
      <c t="s" s="7" r="A60">
        <v>38</v>
      </c>
      <c s="7" r="B60">
        <v>372</v>
      </c>
      <c s="7" r="C60">
        <v>37</v>
      </c>
      <c t="s" s="7" r="D60">
        <v>109</v>
      </c>
      <c t="s" s="7" r="E60">
        <v>39</v>
      </c>
      <c t="s" s="7" r="F60">
        <v>39</v>
      </c>
      <c t="s" s="7" r="G60">
        <v>39</v>
      </c>
      <c t="str" s="65" r="H60">
        <f>HYPERLINK("http://sofifa.com/en/fifa13winter/player/149688-christopher-hegarty","C. Hegarty")</f>
        <v>C. Hegarty</v>
      </c>
      <c s="7" r="I60">
        <v>50</v>
      </c>
      <c t="s" s="7" r="J60">
        <v>113</v>
      </c>
      <c t="s" s="7" r="K60">
        <v>114</v>
      </c>
      <c t="s" s="7" r="L60">
        <v>122</v>
      </c>
      <c s="7" r="M60">
        <v>20</v>
      </c>
      <c s="26" r="N60">
        <v>0.1</v>
      </c>
      <c s="23" r="O60">
        <v>0.002</v>
      </c>
      <c s="7" r="P60"/>
      <c s="7" r="Q60"/>
      <c s="7" r="R60">
        <f>IF((P60&gt;0),O60,0)</f>
        <v>0</v>
      </c>
      <c t="str" r="S60">
        <f>CONCATENATE(F60,E60)</f>
        <v>RangersRangers</v>
      </c>
    </row>
    <row r="61">
      <c t="s" s="7" r="A61">
        <v>38</v>
      </c>
      <c s="7" r="B61">
        <v>373</v>
      </c>
      <c s="7" r="C61">
        <v>15</v>
      </c>
      <c t="s" s="7" r="D61">
        <v>112</v>
      </c>
      <c t="s" s="7" r="E61">
        <v>39</v>
      </c>
      <c t="s" s="7" r="F61">
        <v>39</v>
      </c>
      <c t="s" s="7" r="G61">
        <v>39</v>
      </c>
      <c t="str" s="65" r="H61">
        <f>HYPERLINK("http://sofifa.com/en/fifa13winter/player/149100-sebastien-faure","S. Faure")</f>
        <v>S. Faure</v>
      </c>
      <c s="7" r="I61">
        <v>57</v>
      </c>
      <c t="s" s="7" r="J61">
        <v>113</v>
      </c>
      <c t="s" s="7" r="K61">
        <v>132</v>
      </c>
      <c t="s" s="7" r="L61">
        <v>161</v>
      </c>
      <c s="7" r="M61">
        <v>21</v>
      </c>
      <c s="26" r="N61">
        <v>0.2</v>
      </c>
      <c s="23" r="O61">
        <v>0.002</v>
      </c>
      <c s="7" r="P61"/>
      <c s="7" r="Q61"/>
      <c s="7" r="R61">
        <f>IF((P61&gt;0),O61,0)</f>
        <v>0</v>
      </c>
      <c t="str" r="S61">
        <f>CONCATENATE(F61,E61)</f>
        <v>RangersRangers</v>
      </c>
    </row>
    <row r="62">
      <c t="s" s="7" r="A62">
        <v>38</v>
      </c>
      <c s="7" r="B62">
        <v>374</v>
      </c>
      <c s="7" r="C62">
        <v>4</v>
      </c>
      <c t="s" s="7" r="D62">
        <v>116</v>
      </c>
      <c t="s" s="7" r="E62">
        <v>39</v>
      </c>
      <c t="s" s="7" r="F62">
        <v>39</v>
      </c>
      <c t="s" s="7" r="G62">
        <v>39</v>
      </c>
      <c t="str" s="65" r="H62">
        <f>HYPERLINK("http://sofifa.com/en/fifa13winter/player/145145-emilson-sanchez-cribari","Cribari")</f>
        <v>Cribari</v>
      </c>
      <c s="7" r="I62">
        <v>58</v>
      </c>
      <c t="s" s="7" r="J62">
        <v>113</v>
      </c>
      <c t="s" s="7" r="K62">
        <v>132</v>
      </c>
      <c t="s" s="7" r="L62">
        <v>146</v>
      </c>
      <c s="7" r="M62">
        <v>32</v>
      </c>
      <c s="26" r="N62">
        <v>0.2</v>
      </c>
      <c s="23" r="O62">
        <v>0.003</v>
      </c>
      <c s="7" r="P62"/>
      <c s="7" r="Q62"/>
      <c s="7" r="R62">
        <f>IF((P62&gt;0),O62,0)</f>
        <v>0</v>
      </c>
      <c t="str" r="S62">
        <f>CONCATENATE(F62,E62)</f>
        <v>RangersRangers</v>
      </c>
    </row>
    <row r="63">
      <c t="s" s="7" r="A63">
        <v>38</v>
      </c>
      <c s="7" r="B63">
        <v>375</v>
      </c>
      <c s="7" r="C63">
        <v>5</v>
      </c>
      <c t="s" s="7" r="D63">
        <v>117</v>
      </c>
      <c t="s" s="7" r="E63">
        <v>39</v>
      </c>
      <c t="s" s="7" r="F63">
        <v>39</v>
      </c>
      <c t="s" s="7" r="G63">
        <v>39</v>
      </c>
      <c t="str" s="65" r="H63">
        <f>HYPERLINK("http://sofifa.com/en/fifa13winter/player/147849-lee-wallace","L. Wallace")</f>
        <v>L. Wallace</v>
      </c>
      <c s="7" r="I63">
        <v>68</v>
      </c>
      <c t="s" s="7" r="J63">
        <v>117</v>
      </c>
      <c t="s" s="7" r="K63">
        <v>132</v>
      </c>
      <c t="s" s="7" r="L63">
        <v>119</v>
      </c>
      <c s="7" r="M63">
        <v>25</v>
      </c>
      <c s="26" r="N63">
        <v>1.5</v>
      </c>
      <c s="23" r="O63">
        <v>0.006</v>
      </c>
      <c s="7" r="P63"/>
      <c s="7" r="Q63"/>
      <c s="7" r="R63">
        <f>IF((P63&gt;0),O63,0)</f>
        <v>0</v>
      </c>
      <c t="str" r="S63">
        <f>CONCATENATE(F63,E63)</f>
        <v>RangersRangers</v>
      </c>
    </row>
    <row r="64">
      <c t="s" s="7" r="A64">
        <v>38</v>
      </c>
      <c s="7" r="B64">
        <v>376</v>
      </c>
      <c s="7" r="C64">
        <v>9</v>
      </c>
      <c t="s" s="7" r="D64">
        <v>120</v>
      </c>
      <c t="s" s="7" r="E64">
        <v>39</v>
      </c>
      <c t="s" s="7" r="F64">
        <v>39</v>
      </c>
      <c t="s" s="7" r="G64">
        <v>39</v>
      </c>
      <c t="str" s="65" r="H64">
        <f>HYPERLINK("http://sofifa.com/en/fifa13winter/player/148499-andrew-little","A. Little")</f>
        <v>A. Little</v>
      </c>
      <c s="7" r="I64">
        <v>61</v>
      </c>
      <c t="s" s="7" r="J64">
        <v>129</v>
      </c>
      <c t="s" s="7" r="K64">
        <v>167</v>
      </c>
      <c t="s" s="7" r="L64">
        <v>137</v>
      </c>
      <c s="7" r="M64">
        <v>23</v>
      </c>
      <c s="26" r="N64">
        <v>0.7</v>
      </c>
      <c s="23" r="O64">
        <v>0.003</v>
      </c>
      <c s="7" r="P64"/>
      <c s="7" r="Q64"/>
      <c s="7" r="R64">
        <f>IF((P64&gt;0),O64,0)</f>
        <v>0</v>
      </c>
      <c t="str" r="S64">
        <f>CONCATENATE(F64,E64)</f>
        <v>RangersRangers</v>
      </c>
    </row>
    <row r="65">
      <c t="s" s="7" r="A65">
        <v>38</v>
      </c>
      <c s="7" r="B65">
        <v>377</v>
      </c>
      <c s="7" r="C65">
        <v>8</v>
      </c>
      <c t="s" s="7" r="D65">
        <v>123</v>
      </c>
      <c t="s" s="7" r="E65">
        <v>39</v>
      </c>
      <c t="s" s="7" r="F65">
        <v>39</v>
      </c>
      <c t="s" s="7" r="G65">
        <v>39</v>
      </c>
      <c t="str" s="65" r="H65">
        <f>HYPERLINK("http://sofifa.com/en/fifa13winter/player/146979-ian-black","I. Black")</f>
        <v>I. Black</v>
      </c>
      <c s="7" r="I65">
        <v>63</v>
      </c>
      <c t="s" s="7" r="J65">
        <v>124</v>
      </c>
      <c t="s" s="7" r="K65">
        <v>130</v>
      </c>
      <c t="s" s="7" r="L65">
        <v>168</v>
      </c>
      <c s="7" r="M65">
        <v>27</v>
      </c>
      <c s="26" r="N65">
        <v>0.7</v>
      </c>
      <c s="23" r="O65">
        <v>0.004</v>
      </c>
      <c s="7" r="P65"/>
      <c s="7" r="Q65"/>
      <c s="7" r="R65">
        <f>IF((P65&gt;0),O65,0)</f>
        <v>0</v>
      </c>
      <c t="str" r="S65">
        <f>CONCATENATE(F65,E65)</f>
        <v>RangersRangers</v>
      </c>
    </row>
    <row r="66">
      <c t="s" s="7" r="A66">
        <v>38</v>
      </c>
      <c s="7" r="B66">
        <v>378</v>
      </c>
      <c s="7" r="C66">
        <v>41</v>
      </c>
      <c t="s" s="7" r="D66">
        <v>126</v>
      </c>
      <c t="s" s="7" r="E66">
        <v>39</v>
      </c>
      <c t="s" s="7" r="F66">
        <v>39</v>
      </c>
      <c t="s" s="7" r="G66">
        <v>39</v>
      </c>
      <c t="str" s="65" r="H66">
        <f>HYPERLINK("http://sofifa.com/en/fifa13winter/player/149143-kyle-hutton","K. Hutton")</f>
        <v>K. Hutton</v>
      </c>
      <c s="7" r="I66">
        <v>56</v>
      </c>
      <c t="s" s="7" r="J66">
        <v>124</v>
      </c>
      <c t="s" s="7" r="K66">
        <v>169</v>
      </c>
      <c t="s" s="7" r="L66">
        <v>160</v>
      </c>
      <c s="7" r="M66">
        <v>21</v>
      </c>
      <c s="26" r="N66">
        <v>0.1</v>
      </c>
      <c s="23" r="O66">
        <v>0.002</v>
      </c>
      <c s="7" r="P66"/>
      <c s="7" r="Q66"/>
      <c s="7" r="R66">
        <f>IF((P66&gt;0),O66,0)</f>
        <v>0</v>
      </c>
      <c t="str" r="S66">
        <f>CONCATENATE(F66,E66)</f>
        <v>RangersRangers</v>
      </c>
    </row>
    <row r="67">
      <c t="s" s="7" r="A67">
        <v>38</v>
      </c>
      <c s="7" r="B67">
        <v>379</v>
      </c>
      <c s="7" r="C67">
        <v>50</v>
      </c>
      <c t="s" s="7" r="D67">
        <v>128</v>
      </c>
      <c t="s" s="7" r="E67">
        <v>39</v>
      </c>
      <c t="s" s="7" r="F67">
        <v>39</v>
      </c>
      <c t="s" s="7" r="G67">
        <v>39</v>
      </c>
      <c t="str" s="65" r="H67">
        <f>HYPERLINK("http://sofifa.com/en/fifa13winter/player/150591-fraser-aird","F. Aird")</f>
        <v>F. Aird</v>
      </c>
      <c s="7" r="I67">
        <v>57</v>
      </c>
      <c t="s" s="7" r="J67">
        <v>170</v>
      </c>
      <c t="s" s="7" r="K67">
        <v>121</v>
      </c>
      <c t="s" s="7" r="L67">
        <v>122</v>
      </c>
      <c s="7" r="M67">
        <v>17</v>
      </c>
      <c s="26" r="N67">
        <v>0.3</v>
      </c>
      <c s="23" r="O67">
        <v>0.002</v>
      </c>
      <c s="7" r="P67"/>
      <c s="7" r="Q67"/>
      <c s="7" r="R67">
        <f>IF((P67&gt;0),O67,0)</f>
        <v>0</v>
      </c>
      <c t="str" r="S67">
        <f>CONCATENATE(F67,E67)</f>
        <v>RangersRangers</v>
      </c>
    </row>
    <row r="68">
      <c t="s" s="7" r="A68">
        <v>38</v>
      </c>
      <c s="7" r="B68">
        <v>380</v>
      </c>
      <c s="7" r="C68">
        <v>7</v>
      </c>
      <c t="s" s="7" r="D68">
        <v>171</v>
      </c>
      <c t="s" s="7" r="E68">
        <v>39</v>
      </c>
      <c t="s" s="7" r="F68">
        <v>39</v>
      </c>
      <c t="s" s="7" r="G68">
        <v>39</v>
      </c>
      <c t="str" s="65" r="H68">
        <f>HYPERLINK("http://sofifa.com/en/fifa13winter/player/148374-david-templeton","D. Templeton")</f>
        <v>D. Templeton</v>
      </c>
      <c s="7" r="I68">
        <v>70</v>
      </c>
      <c t="s" s="7" r="J68">
        <v>128</v>
      </c>
      <c t="s" s="7" r="K68">
        <v>172</v>
      </c>
      <c t="s" s="7" r="L68">
        <v>168</v>
      </c>
      <c s="7" r="M68">
        <v>23</v>
      </c>
      <c s="26" r="N68">
        <v>2</v>
      </c>
      <c s="23" r="O68">
        <v>0.006</v>
      </c>
      <c s="7" r="P68"/>
      <c s="7" r="Q68"/>
      <c s="7" r="R68">
        <f>IF((P68&gt;0),O68,0)</f>
        <v>0</v>
      </c>
      <c t="str" r="S68">
        <f>CONCATENATE(F68,E68)</f>
        <v>RangersRangers</v>
      </c>
    </row>
    <row r="69">
      <c t="s" s="7" r="A69">
        <v>38</v>
      </c>
      <c s="7" r="B69">
        <v>381</v>
      </c>
      <c s="7" r="C69">
        <v>6</v>
      </c>
      <c t="s" s="7" r="D69">
        <v>129</v>
      </c>
      <c t="s" s="7" r="E69">
        <v>39</v>
      </c>
      <c t="s" s="7" r="F69">
        <v>39</v>
      </c>
      <c t="s" s="7" r="G69">
        <v>39</v>
      </c>
      <c t="str" s="65" r="H69">
        <f>HYPERLINK("http://sofifa.com/en/fifa13winter/player/144483-lee-mcculloch","L. McCulloch")</f>
        <v>L. McCulloch</v>
      </c>
      <c s="7" r="I69">
        <v>67</v>
      </c>
      <c t="s" s="7" r="J69">
        <v>129</v>
      </c>
      <c t="s" s="7" r="K69">
        <v>132</v>
      </c>
      <c t="s" s="7" r="L69">
        <v>156</v>
      </c>
      <c s="7" r="M69">
        <v>34</v>
      </c>
      <c s="26" r="N69">
        <v>1</v>
      </c>
      <c s="23" r="O69">
        <v>0.007</v>
      </c>
      <c s="7" r="P69"/>
      <c s="7" r="Q69"/>
      <c s="7" r="R69">
        <f>IF((P69&gt;0),O69,0)</f>
        <v>0</v>
      </c>
      <c t="str" r="S69">
        <f>CONCATENATE(F69,E69)</f>
        <v>RangersRangers</v>
      </c>
    </row>
    <row r="70">
      <c t="s" s="7" r="A70">
        <v>38</v>
      </c>
      <c s="7" r="B70">
        <v>382</v>
      </c>
      <c s="7" r="C70">
        <v>11</v>
      </c>
      <c t="s" s="7" r="D70">
        <v>136</v>
      </c>
      <c t="s" s="7" r="E70">
        <v>39</v>
      </c>
      <c t="s" s="7" r="F70">
        <v>39</v>
      </c>
      <c t="s" s="7" r="G70">
        <v>39</v>
      </c>
      <c t="str" s="65" r="H70">
        <f>HYPERLINK("http://sofifa.com/en/fifa13winter/player/150360-lewis-macleod","L. MacLeod")</f>
        <v>L. MacLeod</v>
      </c>
      <c s="7" r="I70">
        <v>57</v>
      </c>
      <c t="s" s="7" r="J70">
        <v>124</v>
      </c>
      <c t="s" s="7" r="K70">
        <v>139</v>
      </c>
      <c t="s" s="7" r="L70">
        <v>146</v>
      </c>
      <c s="7" r="M70">
        <v>18</v>
      </c>
      <c s="26" r="N70">
        <v>0.2</v>
      </c>
      <c s="23" r="O70">
        <v>0.002</v>
      </c>
      <c s="7" r="P70"/>
      <c s="7" r="Q70"/>
      <c s="7" r="R70">
        <f>IF((P70&gt;0),O70,0)</f>
        <v>0</v>
      </c>
      <c t="str" r="S70">
        <f>CONCATENATE(F70,E70)</f>
        <v>RangersRangers</v>
      </c>
    </row>
    <row r="71">
      <c t="s" s="7" r="A71">
        <v>38</v>
      </c>
      <c s="7" r="B71">
        <v>383</v>
      </c>
      <c s="7" r="C71">
        <v>12</v>
      </c>
      <c t="s" s="7" r="D71">
        <v>136</v>
      </c>
      <c t="s" s="7" r="E71">
        <v>39</v>
      </c>
      <c t="s" s="7" r="F71">
        <v>39</v>
      </c>
      <c t="s" s="7" r="G71">
        <v>39</v>
      </c>
      <c t="str" s="65" r="H71">
        <f>HYPERLINK("http://sofifa.com/en/fifa13winter/player/150558-barrie-mckay","B. McKay")</f>
        <v>B. McKay</v>
      </c>
      <c s="7" r="I71">
        <v>61</v>
      </c>
      <c t="s" s="7" r="J71">
        <v>162</v>
      </c>
      <c t="s" s="7" r="K71">
        <v>139</v>
      </c>
      <c t="s" s="7" r="L71">
        <v>163</v>
      </c>
      <c s="7" r="M71">
        <v>17</v>
      </c>
      <c s="26" r="N71">
        <v>0.8</v>
      </c>
      <c s="23" r="O71">
        <v>0.003</v>
      </c>
      <c s="7" r="P71"/>
      <c s="7" r="Q71"/>
      <c s="7" r="R71">
        <f>IF((P71&gt;0),O71,0)</f>
        <v>0</v>
      </c>
      <c t="str" r="S71">
        <f>CONCATENATE(F71,E71)</f>
        <v>RangersRangers</v>
      </c>
    </row>
    <row r="72">
      <c t="s" s="7" r="A72">
        <v>38</v>
      </c>
      <c s="7" r="B72">
        <v>384</v>
      </c>
      <c s="7" r="C72">
        <v>17</v>
      </c>
      <c t="s" s="7" r="D72">
        <v>136</v>
      </c>
      <c t="s" s="7" r="E72">
        <v>39</v>
      </c>
      <c t="s" s="7" r="F72">
        <v>39</v>
      </c>
      <c t="s" s="7" r="G72">
        <v>39</v>
      </c>
      <c t="str" s="65" r="H72">
        <f>HYPERLINK("http://sofifa.com/en/fifa13winter/player/149906-robert-crawford","R. Crawford")</f>
        <v>R. Crawford</v>
      </c>
      <c s="7" r="I72">
        <v>54</v>
      </c>
      <c t="s" s="7" r="J72">
        <v>124</v>
      </c>
      <c t="s" s="7" r="K72">
        <v>118</v>
      </c>
      <c t="s" s="7" r="L72">
        <v>122</v>
      </c>
      <c s="7" r="M72">
        <v>19</v>
      </c>
      <c s="26" r="N72">
        <v>0.1</v>
      </c>
      <c s="23" r="O72">
        <v>0.002</v>
      </c>
      <c s="7" r="P72"/>
      <c s="7" r="Q72"/>
      <c s="7" r="R72">
        <f>IF((P72&gt;0),O72,0)</f>
        <v>0</v>
      </c>
      <c t="str" r="S72">
        <f>CONCATENATE(F72,E72)</f>
        <v>RangersRangers</v>
      </c>
    </row>
    <row r="73">
      <c t="s" s="7" r="A73">
        <v>38</v>
      </c>
      <c s="7" r="B73">
        <v>385</v>
      </c>
      <c s="7" r="C73">
        <v>46</v>
      </c>
      <c t="s" s="7" r="D73">
        <v>136</v>
      </c>
      <c t="s" s="7" r="E73">
        <v>39</v>
      </c>
      <c t="s" s="7" r="F73">
        <v>39</v>
      </c>
      <c t="s" s="7" r="G73">
        <v>39</v>
      </c>
      <c t="str" s="65" r="H73">
        <f>HYPERLINK("http://sofifa.com/en/fifa13winter/player/149899-kamil-wiktorski","K. Wiktorski")</f>
        <v>K. Wiktorski</v>
      </c>
      <c s="7" r="I73">
        <v>51</v>
      </c>
      <c t="s" s="7" r="J73">
        <v>154</v>
      </c>
      <c t="s" s="7" r="K73">
        <v>134</v>
      </c>
      <c t="s" s="7" r="L73">
        <v>153</v>
      </c>
      <c s="7" r="M73">
        <v>19</v>
      </c>
      <c s="26" r="N73">
        <v>0.1</v>
      </c>
      <c s="23" r="O73">
        <v>0.002</v>
      </c>
      <c s="7" r="P73"/>
      <c s="7" r="Q73"/>
      <c s="7" r="R73">
        <f>IF((P73&gt;0),O73,0)</f>
        <v>0</v>
      </c>
      <c t="str" r="S73">
        <f>CONCATENATE(F73,E73)</f>
        <v>RangersRangers</v>
      </c>
    </row>
    <row r="74">
      <c t="s" s="7" r="A74">
        <v>38</v>
      </c>
      <c s="7" r="B74">
        <v>386</v>
      </c>
      <c s="7" r="C74">
        <v>52</v>
      </c>
      <c t="s" s="7" r="D74">
        <v>136</v>
      </c>
      <c t="s" s="7" r="E74">
        <v>39</v>
      </c>
      <c t="s" s="7" r="F74">
        <v>39</v>
      </c>
      <c t="s" s="7" r="G74">
        <v>39</v>
      </c>
      <c t="str" s="65" r="H74">
        <f>HYPERLINK("http://sofifa.com/en/fifa13winter/player/149511-kal-naismith","K. Naismith")</f>
        <v>K. Naismith</v>
      </c>
      <c s="7" r="I74">
        <v>50</v>
      </c>
      <c t="s" s="7" r="J74">
        <v>162</v>
      </c>
      <c t="s" s="7" r="K74">
        <v>121</v>
      </c>
      <c t="s" s="7" r="L74">
        <v>161</v>
      </c>
      <c s="7" r="M74">
        <v>20</v>
      </c>
      <c s="26" r="N74">
        <v>0.1</v>
      </c>
      <c s="23" r="O74">
        <v>0.002</v>
      </c>
      <c s="7" r="P74"/>
      <c s="7" r="Q74"/>
      <c s="7" r="R74">
        <f>IF((P74&gt;0),O74,0)</f>
        <v>0</v>
      </c>
      <c t="str" r="S74">
        <f>CONCATENATE(F74,E74)</f>
        <v>RangersRangers</v>
      </c>
    </row>
    <row r="75">
      <c t="s" s="7" r="A75">
        <v>38</v>
      </c>
      <c s="7" r="B75">
        <v>387</v>
      </c>
      <c s="7" r="C75">
        <v>38</v>
      </c>
      <c t="s" s="7" r="D75">
        <v>136</v>
      </c>
      <c t="s" s="7" r="E75">
        <v>39</v>
      </c>
      <c t="s" s="7" r="F75">
        <v>39</v>
      </c>
      <c t="s" s="7" r="G75">
        <v>39</v>
      </c>
      <c t="str" s="65" r="H75">
        <f>HYPERLINK("http://sofifa.com/en/fifa13winter/player/149561-kane-hemmings","K. Hemmings")</f>
        <v>K. Hemmings</v>
      </c>
      <c s="7" r="I75">
        <v>57</v>
      </c>
      <c t="s" s="7" r="J75">
        <v>129</v>
      </c>
      <c t="s" s="7" r="K75">
        <v>173</v>
      </c>
      <c t="s" s="7" r="L75">
        <v>161</v>
      </c>
      <c s="7" r="M75">
        <v>20</v>
      </c>
      <c s="26" r="N75">
        <v>0.3</v>
      </c>
      <c s="23" r="O75">
        <v>0.002</v>
      </c>
      <c s="7" r="P75"/>
      <c s="7" r="Q75"/>
      <c s="7" r="R75">
        <f>IF((P75&gt;0),O75,0)</f>
        <v>0</v>
      </c>
      <c t="str" r="S75">
        <f>CONCATENATE(F75,E75)</f>
        <v>RangersRangers</v>
      </c>
    </row>
    <row r="76">
      <c t="s" s="7" r="A76">
        <v>38</v>
      </c>
      <c s="7" r="B76">
        <v>388</v>
      </c>
      <c s="7" r="C76">
        <v>30</v>
      </c>
      <c t="s" s="7" r="D76">
        <v>136</v>
      </c>
      <c t="s" s="7" r="E76">
        <v>39</v>
      </c>
      <c t="s" s="7" r="F76">
        <v>39</v>
      </c>
      <c t="s" s="7" r="G76">
        <v>39</v>
      </c>
      <c t="str" s="65" r="H76">
        <f>HYPERLINK("http://sofifa.com/en/fifa13winter/player/148563-scott-gallacher","S. Gallacher")</f>
        <v>S. Gallacher</v>
      </c>
      <c s="7" r="I76">
        <v>54</v>
      </c>
      <c t="s" s="7" r="J76">
        <v>106</v>
      </c>
      <c t="s" s="7" r="K76">
        <v>134</v>
      </c>
      <c t="s" s="7" r="L76">
        <v>138</v>
      </c>
      <c s="7" r="M76">
        <v>23</v>
      </c>
      <c s="26" r="N76">
        <v>0.1</v>
      </c>
      <c s="23" r="O76">
        <v>0.002</v>
      </c>
      <c s="7" r="P76"/>
      <c s="7" r="Q76"/>
      <c s="7" r="R76">
        <f>IF((P76&gt;0),O76,0)</f>
        <v>0</v>
      </c>
      <c t="str" r="S76">
        <f>CONCATENATE(F76,E76)</f>
        <v>RangersRangers</v>
      </c>
    </row>
    <row r="77">
      <c t="s" s="7" r="A77">
        <v>38</v>
      </c>
      <c s="7" r="B77">
        <v>389</v>
      </c>
      <c s="7" r="C77">
        <v>40</v>
      </c>
      <c t="s" s="7" r="D77">
        <v>136</v>
      </c>
      <c t="s" s="7" r="E77">
        <v>39</v>
      </c>
      <c t="s" s="7" r="F77">
        <v>39</v>
      </c>
      <c t="s" s="7" r="G77">
        <v>39</v>
      </c>
      <c t="str" s="65" r="H77">
        <f>HYPERLINK("http://sofifa.com/en/fifa13winter/player/149559-andrew-mitchell","A. Mitchell")</f>
        <v>A. Mitchell</v>
      </c>
      <c s="7" r="I77">
        <v>57</v>
      </c>
      <c t="s" s="7" r="J77">
        <v>120</v>
      </c>
      <c t="s" s="7" r="K77">
        <v>114</v>
      </c>
      <c t="s" s="7" r="L77">
        <v>122</v>
      </c>
      <c s="7" r="M77">
        <v>20</v>
      </c>
      <c s="26" r="N77">
        <v>0.2</v>
      </c>
      <c s="23" r="O77">
        <v>0.002</v>
      </c>
      <c s="7" r="P77"/>
      <c s="7" r="Q77"/>
      <c s="7" r="R77">
        <f>IF((P77&gt;0),O77,0)</f>
        <v>0</v>
      </c>
      <c t="str" r="S77">
        <f>CONCATENATE(F77,E77)</f>
        <v>RangersRangers</v>
      </c>
    </row>
    <row r="78">
      <c t="s" s="7" r="A78">
        <v>38</v>
      </c>
      <c s="7" r="B78">
        <v>390</v>
      </c>
      <c s="7" r="C78">
        <v>2</v>
      </c>
      <c t="s" s="7" r="D78">
        <v>136</v>
      </c>
      <c t="s" s="7" r="E78">
        <v>39</v>
      </c>
      <c t="s" s="7" r="F78">
        <v>39</v>
      </c>
      <c t="s" s="7" r="G78">
        <v>39</v>
      </c>
      <c t="str" s="65" r="H78">
        <f>HYPERLINK("http://sofifa.com/en/fifa13winter/player/148005-anestis-argyriou","A. Argyriou")</f>
        <v>A. Argyriou</v>
      </c>
      <c s="7" r="I78">
        <v>59</v>
      </c>
      <c t="s" s="7" r="J78">
        <v>109</v>
      </c>
      <c t="s" s="7" r="K78">
        <v>110</v>
      </c>
      <c t="s" s="7" r="L78">
        <v>138</v>
      </c>
      <c s="7" r="M78">
        <v>24</v>
      </c>
      <c s="26" r="N78">
        <v>0.4</v>
      </c>
      <c s="23" r="O78">
        <v>0.003</v>
      </c>
      <c s="7" r="P78"/>
      <c s="7" r="Q78"/>
      <c s="7" r="R78">
        <f>IF((P78&gt;0),O78,0)</f>
        <v>0</v>
      </c>
      <c t="str" r="S78">
        <f>CONCATENATE(F78,E78)</f>
        <v>RangersRangers</v>
      </c>
    </row>
    <row r="79">
      <c t="s" s="7" r="A79">
        <v>38</v>
      </c>
      <c s="7" r="B79">
        <v>391</v>
      </c>
      <c s="7" r="C79">
        <v>32</v>
      </c>
      <c t="s" s="7" r="D79">
        <v>136</v>
      </c>
      <c t="s" s="7" r="E79">
        <v>39</v>
      </c>
      <c t="s" s="7" r="F79">
        <v>39</v>
      </c>
      <c t="s" s="7" r="G79">
        <v>39</v>
      </c>
      <c t="str" s="65" r="H79">
        <f>HYPERLINK("http://sofifa.com/en/fifa13winter/player/148770-ross-perry","R. Perry")</f>
        <v>R. Perry</v>
      </c>
      <c s="7" r="I79">
        <v>57</v>
      </c>
      <c t="s" s="7" r="J79">
        <v>113</v>
      </c>
      <c t="s" s="7" r="K79">
        <v>110</v>
      </c>
      <c t="s" s="7" r="L79">
        <v>146</v>
      </c>
      <c s="7" r="M79">
        <v>22</v>
      </c>
      <c s="26" r="N79">
        <v>0.2</v>
      </c>
      <c s="23" r="O79">
        <v>0.002</v>
      </c>
      <c s="7" r="P79"/>
      <c s="7" r="Q79"/>
      <c s="7" r="R79">
        <f>IF((P79&gt;0),O79,0)</f>
        <v>0</v>
      </c>
      <c t="str" r="S79">
        <f>CONCATENATE(F79,E79)</f>
        <v>RangersRangers</v>
      </c>
    </row>
    <row r="80">
      <c t="s" s="7" r="A80">
        <v>38</v>
      </c>
      <c s="7" r="B80">
        <v>392</v>
      </c>
      <c s="7" r="C80">
        <v>10</v>
      </c>
      <c t="s" s="7" r="D80">
        <v>136</v>
      </c>
      <c t="s" s="7" r="E80">
        <v>39</v>
      </c>
      <c t="s" s="7" r="F80">
        <v>39</v>
      </c>
      <c t="s" s="7" r="G80">
        <v>39</v>
      </c>
      <c t="str" s="65" r="H80">
        <f>HYPERLINK("http://sofifa.com/en/fifa13winter/player/146938-dean-shiels","D. Shiels")</f>
        <v>D. Shiels</v>
      </c>
      <c s="7" r="I80">
        <v>62</v>
      </c>
      <c t="s" s="7" r="J80">
        <v>162</v>
      </c>
      <c t="s" s="7" r="K80">
        <v>114</v>
      </c>
      <c t="s" s="7" r="L80">
        <v>164</v>
      </c>
      <c s="7" r="M80">
        <v>27</v>
      </c>
      <c s="26" r="N80">
        <v>0.8</v>
      </c>
      <c s="23" r="O80">
        <v>0.004</v>
      </c>
      <c s="7" r="P80"/>
      <c s="7" r="Q80"/>
      <c s="7" r="R80">
        <f>IF((P80&gt;0),O80,0)</f>
        <v>0</v>
      </c>
      <c t="str" r="S80">
        <f>CONCATENATE(F80,E80)</f>
        <v>RangersRangers</v>
      </c>
    </row>
    <row r="81">
      <c t="s" s="7" r="A81">
        <v>38</v>
      </c>
      <c s="7" r="B81">
        <v>393</v>
      </c>
      <c s="7" r="C81">
        <v>36</v>
      </c>
      <c t="s" s="7" r="D81">
        <v>136</v>
      </c>
      <c t="s" s="7" r="E81">
        <v>39</v>
      </c>
      <c t="s" s="7" r="F81">
        <v>39</v>
      </c>
      <c t="s" s="7" r="G81">
        <v>39</v>
      </c>
      <c t="str" s="65" r="H81">
        <f>HYPERLINK("http://sofifa.com/en/fifa13winter/player/149465-darren-cole","D. Cole")</f>
        <v>D. Cole</v>
      </c>
      <c s="7" r="I81">
        <v>55</v>
      </c>
      <c t="s" s="7" r="J81">
        <v>109</v>
      </c>
      <c t="s" s="7" r="K81">
        <v>169</v>
      </c>
      <c t="s" s="7" r="L81">
        <v>153</v>
      </c>
      <c s="7" r="M81">
        <v>20</v>
      </c>
      <c s="26" r="N81">
        <v>0.1</v>
      </c>
      <c s="23" r="O81">
        <v>0.002</v>
      </c>
      <c s="7" r="P81"/>
      <c s="7" r="Q81"/>
      <c s="7" r="R81">
        <f>IF((P81&gt;0),O81,0)</f>
        <v>0</v>
      </c>
      <c t="str" r="S81">
        <f>CONCATENATE(F81,E81)</f>
        <v>RangersRangers</v>
      </c>
    </row>
    <row r="82">
      <c t="s" s="7" r="A82">
        <v>38</v>
      </c>
      <c s="7" r="B82">
        <v>394</v>
      </c>
      <c s="7" r="C82">
        <v>51</v>
      </c>
      <c t="s" s="7" r="D82">
        <v>147</v>
      </c>
      <c t="s" s="7" r="E82">
        <v>39</v>
      </c>
      <c t="s" s="7" r="F82">
        <v>39</v>
      </c>
      <c t="s" s="7" r="G82">
        <v>39</v>
      </c>
      <c t="str" s="65" r="H82">
        <f>HYPERLINK("http://sofifa.com/en/fifa13winter/player/149973-blair-currie","B. Currie")</f>
        <v>B. Currie</v>
      </c>
      <c s="7" r="I82">
        <v>54</v>
      </c>
      <c t="s" s="7" r="J82">
        <v>106</v>
      </c>
      <c t="s" s="7" r="K82">
        <v>132</v>
      </c>
      <c t="s" s="7" r="L82">
        <v>108</v>
      </c>
      <c s="7" r="M82">
        <v>19</v>
      </c>
      <c s="26" r="N82">
        <v>0.1</v>
      </c>
      <c s="23" r="O82">
        <v>0.002</v>
      </c>
      <c s="7" r="P82"/>
      <c s="7" r="Q82"/>
      <c s="7" r="R82">
        <f>IF((P82&gt;0),O82,0)</f>
        <v>0</v>
      </c>
      <c t="str" r="S82">
        <f>CONCATENATE(F82,E82)</f>
        <v>RangersRangers</v>
      </c>
    </row>
    <row r="83">
      <c t="s" s="7" r="A83">
        <v>38</v>
      </c>
      <c s="7" r="B83">
        <v>395</v>
      </c>
      <c s="7" r="C83">
        <v>80</v>
      </c>
      <c t="s" s="7" r="D83">
        <v>147</v>
      </c>
      <c t="s" s="7" r="E83">
        <v>39</v>
      </c>
      <c t="s" s="7" r="F83">
        <v>39</v>
      </c>
      <c t="s" s="7" r="G83">
        <v>39</v>
      </c>
      <c t="str" s="65" r="H83">
        <f>HYPERLINK("http://sofifa.com/en/fifa13winter/player/150804-luca-gasparotto","L. Gasparotto")</f>
        <v>L. Gasparotto</v>
      </c>
      <c s="7" r="I83">
        <v>49</v>
      </c>
      <c t="s" s="7" r="J83">
        <v>113</v>
      </c>
      <c t="s" s="7" r="K83">
        <v>134</v>
      </c>
      <c t="s" s="7" r="L83">
        <v>122</v>
      </c>
      <c s="7" r="M83">
        <v>16</v>
      </c>
      <c s="26" r="N83">
        <v>0.1</v>
      </c>
      <c s="23" r="O83">
        <v>0.001</v>
      </c>
      <c s="7" r="P83"/>
      <c s="7" r="Q83"/>
      <c s="7" r="R83">
        <f>IF((P83&gt;0),O83,0)</f>
        <v>0</v>
      </c>
      <c t="str" r="S83">
        <f>CONCATENATE(F83,E83)</f>
        <v>RangersRangers</v>
      </c>
    </row>
    <row r="84">
      <c t="s" s="7" r="A84">
        <v>38</v>
      </c>
      <c s="7" r="B84">
        <v>396</v>
      </c>
      <c s="7" r="C84">
        <v>34</v>
      </c>
      <c t="s" s="7" r="D84">
        <v>147</v>
      </c>
      <c t="s" s="7" r="E84">
        <v>39</v>
      </c>
      <c t="s" s="7" r="F84">
        <v>39</v>
      </c>
      <c t="s" s="7" r="G84">
        <v>39</v>
      </c>
      <c t="str" s="65" r="H84">
        <f>HYPERLINK("http://sofifa.com/en/fifa13winter/player/151049-daniel-stoney","D. Stoney")</f>
        <v>D. Stoney</v>
      </c>
      <c s="7" r="I84">
        <v>49</v>
      </c>
      <c t="s" s="7" r="J84">
        <v>129</v>
      </c>
      <c t="s" s="7" r="K84">
        <v>139</v>
      </c>
      <c t="s" s="7" r="L84">
        <v>163</v>
      </c>
      <c s="7" r="M84">
        <v>16</v>
      </c>
      <c s="26" r="N84">
        <v>0.1</v>
      </c>
      <c s="23" r="O84">
        <v>0.001</v>
      </c>
      <c s="7" r="P84"/>
      <c s="7" r="Q84"/>
      <c s="7" r="R84">
        <f>IF((P84&gt;0),O84,0)</f>
        <v>0</v>
      </c>
      <c t="str" r="S84">
        <f>CONCATENATE(F84,E84)</f>
        <v>RangersRangers</v>
      </c>
    </row>
    <row r="85">
      <c t="s" s="7" r="A85">
        <v>73</v>
      </c>
      <c s="7" r="B85">
        <v>36</v>
      </c>
      <c s="7" r="C85">
        <v>24</v>
      </c>
      <c t="s" s="7" r="D85">
        <v>112</v>
      </c>
      <c t="s" s="7" r="E85">
        <v>74</v>
      </c>
      <c t="s" s="7" r="F85">
        <v>74</v>
      </c>
      <c t="s" s="7" r="G85">
        <v>74</v>
      </c>
      <c t="str" s="65" r="H85">
        <f>HYPERLINK("http://sofifa.com/en/fifa13winter/player/147259-gary-cahill","G. Cahill")</f>
        <v>G. Cahill</v>
      </c>
      <c s="7" r="I85">
        <v>80</v>
      </c>
      <c t="s" s="7" r="J85">
        <v>113</v>
      </c>
      <c t="s" s="7" r="K85">
        <v>134</v>
      </c>
      <c t="s" s="7" r="L85">
        <v>142</v>
      </c>
      <c s="7" r="M85">
        <v>26</v>
      </c>
      <c s="26" r="N85">
        <v>9.4</v>
      </c>
      <c s="23" r="O85">
        <v>0.03</v>
      </c>
      <c s="7" r="P85"/>
      <c s="7" r="Q85"/>
      <c s="7" r="R85">
        <f>IF((P85&gt;0),O85,0)</f>
        <v>0</v>
      </c>
      <c t="str" r="S85">
        <f>CONCATENATE(F85,E85)</f>
        <v>ChelseaChelsea</v>
      </c>
    </row>
    <row r="86">
      <c t="s" s="7" r="A86">
        <v>73</v>
      </c>
      <c s="7" r="B86">
        <v>37</v>
      </c>
      <c s="7" r="C86">
        <v>4</v>
      </c>
      <c t="s" s="7" r="D86">
        <v>116</v>
      </c>
      <c t="s" s="7" r="E86">
        <v>74</v>
      </c>
      <c t="s" s="7" r="F86">
        <v>74</v>
      </c>
      <c t="s" s="7" r="G86">
        <v>74</v>
      </c>
      <c t="str" s="65" r="H86">
        <f>HYPERLINK("http://sofifa.com/en/fifa13winter/player/147748-david-luiz-moreira-marinho","David Luiz")</f>
        <v>David Luiz</v>
      </c>
      <c s="7" r="I86">
        <v>80</v>
      </c>
      <c t="s" s="7" r="J86">
        <v>113</v>
      </c>
      <c t="s" s="7" r="K86">
        <v>169</v>
      </c>
      <c t="s" s="7" r="L86">
        <v>156</v>
      </c>
      <c s="7" r="M86">
        <v>25</v>
      </c>
      <c s="26" r="N86">
        <v>9.6</v>
      </c>
      <c s="23" r="O86">
        <v>0.03</v>
      </c>
      <c s="7" r="P86"/>
      <c s="7" r="Q86"/>
      <c s="7" r="R86">
        <f>IF((P86&gt;0),O86,0)</f>
        <v>0</v>
      </c>
      <c t="str" r="S86">
        <f>CONCATENATE(F86,E86)</f>
        <v>ChelseaChelsea</v>
      </c>
    </row>
    <row r="87">
      <c t="s" s="7" r="A87">
        <v>73</v>
      </c>
      <c s="7" r="B87">
        <v>40</v>
      </c>
      <c s="7" r="C87">
        <v>8</v>
      </c>
      <c t="s" s="7" r="D87">
        <v>174</v>
      </c>
      <c t="s" s="7" r="E87">
        <v>74</v>
      </c>
      <c t="s" s="7" r="F87">
        <v>74</v>
      </c>
      <c t="s" s="7" r="G87">
        <v>74</v>
      </c>
      <c t="str" s="65" r="H87">
        <f>HYPERLINK("http://sofifa.com/en/fifa13winter/player/144520-frank-lampard","F. Lampard")</f>
        <v>F. Lampard</v>
      </c>
      <c s="7" r="I87">
        <v>81</v>
      </c>
      <c t="s" s="7" r="J87">
        <v>124</v>
      </c>
      <c t="s" s="7" r="K87">
        <v>167</v>
      </c>
      <c t="s" s="7" r="L87">
        <v>175</v>
      </c>
      <c s="7" r="M87">
        <v>34</v>
      </c>
      <c s="26" r="N87">
        <v>7.8</v>
      </c>
      <c s="23" r="O87">
        <v>0.051</v>
      </c>
      <c s="7" r="P87"/>
      <c s="7" r="Q87"/>
      <c s="7" r="R87">
        <f>IF((P87&gt;0),O87,0)</f>
        <v>0</v>
      </c>
      <c t="str" r="S87">
        <f>CONCATENATE(F87,E87)</f>
        <v>ChelseaChelsea</v>
      </c>
    </row>
    <row r="88">
      <c t="s" s="7" r="A88">
        <v>73</v>
      </c>
      <c s="7" r="B88">
        <v>45</v>
      </c>
      <c s="7" r="C88">
        <v>20</v>
      </c>
      <c t="s" s="7" r="D88">
        <v>136</v>
      </c>
      <c t="s" s="7" r="E88">
        <v>74</v>
      </c>
      <c t="s" s="7" r="F88">
        <v>74</v>
      </c>
      <c t="s" s="7" r="G88">
        <v>74</v>
      </c>
      <c t="str" s="65" r="H88">
        <f>HYPERLINK("http://sofifa.com/en/fifa13winter/player/149888-josh-mceachran","J. McEachran")</f>
        <v>J. McEachran</v>
      </c>
      <c s="7" r="I88">
        <v>71</v>
      </c>
      <c t="s" s="7" r="J88">
        <v>124</v>
      </c>
      <c t="s" s="7" r="K88">
        <v>118</v>
      </c>
      <c t="s" s="7" r="L88">
        <v>149</v>
      </c>
      <c s="7" r="M88">
        <v>19</v>
      </c>
      <c s="26" r="N88">
        <v>2.5</v>
      </c>
      <c s="23" r="O88">
        <v>0.006</v>
      </c>
      <c s="7" r="P88"/>
      <c s="7" r="Q88"/>
      <c s="7" r="R88">
        <f>IF((P88&gt;0),O88,0)</f>
        <v>0</v>
      </c>
      <c t="str" r="S88">
        <f>CONCATENATE(F88,E88)</f>
        <v>ChelseaChelsea</v>
      </c>
    </row>
    <row r="89">
      <c t="s" s="7" r="A89">
        <v>73</v>
      </c>
      <c s="7" r="B89">
        <v>46</v>
      </c>
      <c s="7" r="C89">
        <v>6</v>
      </c>
      <c t="s" s="7" r="D89">
        <v>136</v>
      </c>
      <c t="s" s="7" r="E89">
        <v>74</v>
      </c>
      <c t="s" s="7" r="F89">
        <v>74</v>
      </c>
      <c t="s" s="7" r="G89">
        <v>74</v>
      </c>
      <c t="str" s="65" r="H89">
        <f>HYPERLINK("http://sofifa.com/en/fifa13winter/player/149364-oriol-romeu-vidal","Oriol Romeu")</f>
        <v>Oriol Romeu</v>
      </c>
      <c s="7" r="I89">
        <v>72</v>
      </c>
      <c t="s" s="7" r="J89">
        <v>154</v>
      </c>
      <c t="s" s="7" r="K89">
        <v>143</v>
      </c>
      <c t="s" s="7" r="L89">
        <v>158</v>
      </c>
      <c s="7" r="M89">
        <v>20</v>
      </c>
      <c s="26" r="N89">
        <v>2.7</v>
      </c>
      <c s="23" r="O89">
        <v>0.007</v>
      </c>
      <c s="7" r="P89"/>
      <c s="7" r="Q89"/>
      <c s="7" r="R89">
        <f>IF((P89&gt;0),O89,0)</f>
        <v>0</v>
      </c>
      <c t="str" r="S89">
        <f>CONCATENATE(F89,E89)</f>
        <v>ChelseaChelsea</v>
      </c>
    </row>
    <row r="90">
      <c t="s" s="7" r="A90">
        <v>73</v>
      </c>
      <c s="7" r="B90">
        <v>47</v>
      </c>
      <c s="7" r="C90">
        <v>46</v>
      </c>
      <c t="s" s="7" r="D90">
        <v>136</v>
      </c>
      <c t="s" s="7" r="E90">
        <v>74</v>
      </c>
      <c t="s" s="7" r="F90">
        <v>74</v>
      </c>
      <c t="s" s="7" r="G90">
        <v>74</v>
      </c>
      <c t="str" s="65" r="H90">
        <f>HYPERLINK("http://sofifa.com/en/fifa13winter/player/150128-jamal-blackman","J. Blackman")</f>
        <v>J. Blackman</v>
      </c>
      <c s="7" r="I90">
        <v>58</v>
      </c>
      <c t="s" s="7" r="J90">
        <v>106</v>
      </c>
      <c t="s" s="7" r="K90">
        <v>176</v>
      </c>
      <c t="s" s="7" r="L90">
        <v>151</v>
      </c>
      <c s="7" r="M90">
        <v>18</v>
      </c>
      <c s="26" r="N90">
        <v>0.3</v>
      </c>
      <c s="23" r="O90">
        <v>0.002</v>
      </c>
      <c s="7" r="P90"/>
      <c s="7" r="Q90"/>
      <c s="7" r="R90">
        <f>IF((P90&gt;0),O90,0)</f>
        <v>0</v>
      </c>
      <c t="str" r="S90">
        <f>CONCATENATE(F90,E90)</f>
        <v>ChelseaChelsea</v>
      </c>
    </row>
    <row r="91">
      <c t="s" s="7" r="A91">
        <v>73</v>
      </c>
      <c s="7" r="B91">
        <v>48</v>
      </c>
      <c s="7" r="C91">
        <v>57</v>
      </c>
      <c t="s" s="7" r="D91">
        <v>136</v>
      </c>
      <c t="s" s="7" r="E91">
        <v>74</v>
      </c>
      <c t="s" s="7" r="F91">
        <v>74</v>
      </c>
      <c t="s" s="7" r="G91">
        <v>74</v>
      </c>
      <c t="str" s="65" r="H91">
        <f>HYPERLINK("http://sofifa.com/en/fifa13winter/player/150607-nathan-ake","N. Aké")</f>
        <v>N. Aké</v>
      </c>
      <c s="7" r="I91">
        <v>61</v>
      </c>
      <c t="s" s="7" r="J91">
        <v>113</v>
      </c>
      <c t="s" s="7" r="K91">
        <v>114</v>
      </c>
      <c t="s" s="7" r="L91">
        <v>142</v>
      </c>
      <c s="7" r="M91">
        <v>17</v>
      </c>
      <c s="26" r="N91">
        <v>0.7</v>
      </c>
      <c s="23" r="O91">
        <v>0.003</v>
      </c>
      <c s="7" r="P91"/>
      <c s="7" r="Q91"/>
      <c s="7" r="R91">
        <f>IF((P91&gt;0),O91,0)</f>
        <v>0</v>
      </c>
      <c t="str" r="S91">
        <f>CONCATENATE(F91,E91)</f>
        <v>ChelseaChelsea</v>
      </c>
    </row>
    <row r="92">
      <c t="s" s="7" r="A92">
        <v>73</v>
      </c>
      <c s="7" r="B92">
        <v>49</v>
      </c>
      <c s="7" r="C92">
        <v>18</v>
      </c>
      <c t="s" s="7" r="D92">
        <v>136</v>
      </c>
      <c t="s" s="7" r="E92">
        <v>74</v>
      </c>
      <c t="s" s="7" r="F92">
        <v>74</v>
      </c>
      <c t="s" s="7" r="G92">
        <v>74</v>
      </c>
      <c t="str" s="65" r="H92">
        <f>HYPERLINK("http://sofifa.com/en/fifa13winter/player/149961-romelu-lukaku","R. Lukaku")</f>
        <v>R. Lukaku</v>
      </c>
      <c s="7" r="I92">
        <v>77</v>
      </c>
      <c t="s" s="7" r="J92">
        <v>129</v>
      </c>
      <c t="s" s="7" r="K92">
        <v>152</v>
      </c>
      <c t="s" s="7" r="L92">
        <v>177</v>
      </c>
      <c s="7" r="M92">
        <v>19</v>
      </c>
      <c s="26" r="N92">
        <v>8.3</v>
      </c>
      <c s="23" r="O92">
        <v>0.013</v>
      </c>
      <c s="7" r="P92"/>
      <c s="7" r="Q92"/>
      <c s="7" r="R92">
        <f>IF((P92&gt;0),O92,0)</f>
        <v>0</v>
      </c>
      <c t="str" r="S92">
        <f>CONCATENATE(F92,E92)</f>
        <v>ChelseaChelsea</v>
      </c>
    </row>
    <row r="93">
      <c t="s" s="7" r="A93">
        <v>73</v>
      </c>
      <c s="7" r="B93">
        <v>50</v>
      </c>
      <c s="7" r="C93">
        <v>28</v>
      </c>
      <c t="s" s="7" r="D93">
        <v>136</v>
      </c>
      <c t="s" s="7" r="E93">
        <v>74</v>
      </c>
      <c t="s" s="7" r="F93">
        <v>74</v>
      </c>
      <c t="s" s="7" r="G93">
        <v>74</v>
      </c>
      <c t="str" s="65" r="H93">
        <f>HYPERLINK("http://sofifa.com/en/fifa13winter/player/148607-cesar-azpilicueta-tanco","Azpilicueta")</f>
        <v>Azpilicueta</v>
      </c>
      <c s="7" r="I93">
        <v>77</v>
      </c>
      <c t="s" s="7" r="J93">
        <v>109</v>
      </c>
      <c t="s" s="7" r="K93">
        <v>118</v>
      </c>
      <c t="s" s="7" r="L93">
        <v>122</v>
      </c>
      <c s="7" r="M93">
        <v>23</v>
      </c>
      <c s="26" r="N93">
        <v>5.6</v>
      </c>
      <c s="23" r="O93">
        <v>0.016</v>
      </c>
      <c s="7" r="P93"/>
      <c s="7" r="Q93"/>
      <c s="7" r="R93">
        <f>IF((P93&gt;0),O93,0)</f>
        <v>0</v>
      </c>
      <c t="str" r="S93">
        <f>CONCATENATE(F93,E93)</f>
        <v>ChelseaChelsea</v>
      </c>
    </row>
    <row r="94">
      <c t="s" s="7" r="A94">
        <v>73</v>
      </c>
      <c s="7" r="B94">
        <v>51</v>
      </c>
      <c s="7" r="C94">
        <v>21</v>
      </c>
      <c t="s" s="7" r="D94">
        <v>136</v>
      </c>
      <c t="s" s="7" r="E94">
        <v>74</v>
      </c>
      <c t="s" s="7" r="F94">
        <v>74</v>
      </c>
      <c t="s" s="7" r="G94">
        <v>74</v>
      </c>
      <c t="str" s="65" r="H94">
        <f>HYPERLINK("http://sofifa.com/en/fifa13winter/player/148074-marko-marin","M. Marin")</f>
        <v>M. Marin</v>
      </c>
      <c s="7" r="I94">
        <v>78</v>
      </c>
      <c t="s" s="7" r="J94">
        <v>162</v>
      </c>
      <c t="s" s="7" r="K94">
        <v>121</v>
      </c>
      <c t="s" s="7" r="L94">
        <v>168</v>
      </c>
      <c s="7" r="M94">
        <v>24</v>
      </c>
      <c s="26" r="N94">
        <v>8.3</v>
      </c>
      <c s="23" r="O94">
        <v>0.019</v>
      </c>
      <c s="7" r="P94"/>
      <c s="7" r="Q94"/>
      <c s="7" r="R94">
        <f>IF((P94&gt;0),O94,0)</f>
        <v>0</v>
      </c>
      <c t="str" r="S94">
        <f>CONCATENATE(F94,E94)</f>
        <v>ChelseaChelsea</v>
      </c>
    </row>
    <row r="95">
      <c t="s" s="7" r="A95">
        <v>73</v>
      </c>
      <c s="7" r="B95">
        <v>52</v>
      </c>
      <c s="7" r="C95">
        <v>26</v>
      </c>
      <c t="s" s="7" r="D95">
        <v>136</v>
      </c>
      <c t="s" s="7" r="E95">
        <v>74</v>
      </c>
      <c t="s" s="7" r="F95">
        <v>74</v>
      </c>
      <c t="s" s="7" r="G95">
        <v>74</v>
      </c>
      <c t="str" s="65" r="H95">
        <f>HYPERLINK("http://sofifa.com/en/fifa13winter/player/145421-john-terry","J. Terry")</f>
        <v>J. Terry</v>
      </c>
      <c s="7" r="I95">
        <v>83</v>
      </c>
      <c t="s" s="7" r="J95">
        <v>113</v>
      </c>
      <c t="s" s="7" r="K95">
        <v>155</v>
      </c>
      <c t="s" s="7" r="L95">
        <v>178</v>
      </c>
      <c s="7" r="M95">
        <v>31</v>
      </c>
      <c s="26" r="N95">
        <v>12.2</v>
      </c>
      <c s="23" r="O95">
        <v>0.079</v>
      </c>
      <c s="7" r="P95"/>
      <c s="7" r="Q95"/>
      <c s="7" r="R95">
        <f>IF((P95&gt;0),O95,0)</f>
        <v>0</v>
      </c>
      <c t="str" r="S95">
        <f>CONCATENATE(F95,E95)</f>
        <v>ChelseaChelsea</v>
      </c>
    </row>
    <row r="96">
      <c t="s" s="7" r="A96">
        <v>73</v>
      </c>
      <c s="7" r="B96">
        <v>53</v>
      </c>
      <c s="7" r="C96">
        <v>13</v>
      </c>
      <c t="s" s="7" r="D96">
        <v>136</v>
      </c>
      <c t="s" s="7" r="E96">
        <v>74</v>
      </c>
      <c t="s" s="7" r="F96">
        <v>74</v>
      </c>
      <c t="s" s="7" r="G96">
        <v>74</v>
      </c>
      <c t="str" s="65" r="H96">
        <f>HYPERLINK("http://sofifa.com/en/fifa13winter/player/149078-victor-moses","V. Moses")</f>
        <v>V. Moses</v>
      </c>
      <c s="7" r="I96">
        <v>76</v>
      </c>
      <c t="s" s="7" r="J96">
        <v>120</v>
      </c>
      <c t="s" s="7" r="K96">
        <v>118</v>
      </c>
      <c t="s" s="7" r="L96">
        <v>151</v>
      </c>
      <c s="7" r="M96">
        <v>21</v>
      </c>
      <c s="26" r="N96">
        <v>5.6</v>
      </c>
      <c s="23" r="O96">
        <v>0.013</v>
      </c>
      <c s="7" r="P96"/>
      <c s="7" r="Q96"/>
      <c s="7" r="R96">
        <f>IF((P96&gt;0),O96,0)</f>
        <v>0</v>
      </c>
      <c t="str" r="S96">
        <f>CONCATENATE(F96,E96)</f>
        <v>ChelseaChelsea</v>
      </c>
    </row>
    <row r="97">
      <c t="s" s="7" r="A97">
        <v>73</v>
      </c>
      <c s="7" r="B97">
        <v>54</v>
      </c>
      <c s="7" r="C97">
        <v>34</v>
      </c>
      <c t="s" s="7" r="D97">
        <v>136</v>
      </c>
      <c t="s" s="7" r="E97">
        <v>74</v>
      </c>
      <c t="s" s="7" r="F97">
        <v>74</v>
      </c>
      <c t="s" s="7" r="G97">
        <v>74</v>
      </c>
      <c t="str" s="65" r="H97">
        <f>HYPERLINK("http://sofifa.com/en/fifa13winter/player/148584-ryan-bertrand","R. Bertrand")</f>
        <v>R. Bertrand</v>
      </c>
      <c s="7" r="I97">
        <v>74</v>
      </c>
      <c t="s" s="7" r="J97">
        <v>117</v>
      </c>
      <c t="s" s="7" r="K97">
        <v>145</v>
      </c>
      <c t="s" s="7" r="L97">
        <v>179</v>
      </c>
      <c s="7" r="M97">
        <v>23</v>
      </c>
      <c s="26" r="N97">
        <v>3.3</v>
      </c>
      <c s="23" r="O97">
        <v>0.01</v>
      </c>
      <c s="7" r="P97"/>
      <c s="7" r="Q97"/>
      <c s="7" r="R97">
        <f>IF((P97&gt;0),O97,0)</f>
        <v>0</v>
      </c>
      <c t="str" r="S97">
        <f>CONCATENATE(F97,E97)</f>
        <v>ChelseaChelsea</v>
      </c>
    </row>
    <row r="98">
      <c t="s" s="7" r="A98">
        <v>73</v>
      </c>
      <c s="7" r="B98">
        <v>55</v>
      </c>
      <c s="7" r="C98">
        <v>12</v>
      </c>
      <c t="s" s="7" r="D98">
        <v>136</v>
      </c>
      <c t="s" s="7" r="E98">
        <v>74</v>
      </c>
      <c t="s" s="7" r="F98">
        <v>74</v>
      </c>
      <c t="s" s="7" r="G98">
        <v>74</v>
      </c>
      <c t="str" s="65" r="H98">
        <f>HYPERLINK("http://sofifa.com/en/fifa13winter/player/147748-john-obi-mikel","J. Mikel")</f>
        <v>J. Mikel</v>
      </c>
      <c s="7" r="I98">
        <v>79</v>
      </c>
      <c t="s" s="7" r="J98">
        <v>154</v>
      </c>
      <c t="s" s="7" r="K98">
        <v>134</v>
      </c>
      <c t="s" s="7" r="L98">
        <v>180</v>
      </c>
      <c s="7" r="M98">
        <v>25</v>
      </c>
      <c s="26" r="N98">
        <v>7.3</v>
      </c>
      <c s="23" r="O98">
        <v>0.022</v>
      </c>
      <c s="7" r="P98"/>
      <c s="7" r="Q98"/>
      <c s="7" r="R98">
        <f>IF((P98&gt;0),O98,0)</f>
        <v>0</v>
      </c>
      <c t="str" r="S98">
        <f>CONCATENATE(F98,E98)</f>
        <v>ChelseaChelsea</v>
      </c>
    </row>
    <row r="99">
      <c t="s" s="7" r="A99">
        <v>73</v>
      </c>
      <c s="7" r="B99">
        <v>57</v>
      </c>
      <c s="7" r="C99">
        <v>36</v>
      </c>
      <c t="s" s="7" r="D99">
        <v>147</v>
      </c>
      <c t="s" s="7" r="E99">
        <v>74</v>
      </c>
      <c t="s" s="7" r="F99">
        <v>74</v>
      </c>
      <c t="s" s="7" r="G99">
        <v>74</v>
      </c>
      <c t="str" s="65" r="H99">
        <f>HYPERLINK("http://sofifa.com/en/fifa13winter/player/150076-patrick-bamford","P. Bamford")</f>
        <v>P. Bamford</v>
      </c>
      <c s="7" r="I99">
        <v>61</v>
      </c>
      <c t="s" s="7" r="J99">
        <v>129</v>
      </c>
      <c t="s" s="7" r="K99">
        <v>132</v>
      </c>
      <c t="s" s="7" r="L99">
        <v>138</v>
      </c>
      <c s="7" r="M99">
        <v>18</v>
      </c>
      <c s="26" r="N99">
        <v>0.8</v>
      </c>
      <c s="23" r="O99">
        <v>0.003</v>
      </c>
      <c s="7" r="P99"/>
      <c s="7" r="Q99"/>
      <c s="7" r="R99">
        <f>IF((P99&gt;0),O99,0)</f>
        <v>0</v>
      </c>
      <c t="str" r="S99">
        <f>CONCATENATE(F99,E99)</f>
        <v>ChelseaChelsea</v>
      </c>
    </row>
    <row r="100">
      <c t="s" s="7" r="A100">
        <v>73</v>
      </c>
      <c s="7" r="B100">
        <v>58</v>
      </c>
      <c s="7" r="C100">
        <v>45</v>
      </c>
      <c t="s" s="7" r="D100">
        <v>147</v>
      </c>
      <c t="s" s="7" r="E100">
        <v>74</v>
      </c>
      <c t="s" s="7" r="F100">
        <v>74</v>
      </c>
      <c t="s" s="7" r="G100">
        <v>74</v>
      </c>
      <c t="str" s="65" r="H100">
        <f>HYPERLINK("http://sofifa.com/en/fifa13winter/player/150539-nathaniel-chalobah","N. Chalobah")</f>
        <v>N. Chalobah</v>
      </c>
      <c s="7" r="I100">
        <v>68</v>
      </c>
      <c t="s" s="7" r="J100">
        <v>154</v>
      </c>
      <c t="s" s="7" r="K100">
        <v>132</v>
      </c>
      <c t="s" s="7" r="L100">
        <v>151</v>
      </c>
      <c s="7" r="M100">
        <v>17</v>
      </c>
      <c s="26" r="N100">
        <v>1.7</v>
      </c>
      <c s="23" r="O100">
        <v>0.004</v>
      </c>
      <c s="7" r="P100"/>
      <c s="7" r="Q100"/>
      <c s="7" r="R100">
        <f>IF((P100&gt;0),O100,0)</f>
        <v>0</v>
      </c>
      <c t="str" r="S100">
        <f>CONCATENATE(F100,E100)</f>
        <v>ChelseaChelsea</v>
      </c>
    </row>
    <row r="101">
      <c t="s" s="7" r="A101">
        <v>73</v>
      </c>
      <c s="7" r="B101">
        <v>59</v>
      </c>
      <c s="7" r="C101">
        <v>55</v>
      </c>
      <c t="s" s="7" r="D101">
        <v>147</v>
      </c>
      <c t="s" s="7" r="E101">
        <v>74</v>
      </c>
      <c t="s" s="7" r="F101">
        <v>74</v>
      </c>
      <c t="s" s="7" r="G101">
        <v>74</v>
      </c>
      <c t="str" s="65" r="H101">
        <f>HYPERLINK("http://sofifa.com/en/fifa13winter/player/150088-todd-kane","T. Kane")</f>
        <v>T. Kane</v>
      </c>
      <c s="7" r="I101">
        <v>65</v>
      </c>
      <c t="s" s="7" r="J101">
        <v>109</v>
      </c>
      <c t="s" s="7" r="K101">
        <v>114</v>
      </c>
      <c t="s" s="7" r="L101">
        <v>122</v>
      </c>
      <c s="7" r="M101">
        <v>18</v>
      </c>
      <c s="26" r="N101">
        <v>1.1</v>
      </c>
      <c s="23" r="O101">
        <v>0.004</v>
      </c>
      <c s="7" r="P101"/>
      <c s="7" r="Q101"/>
      <c s="7" r="R101">
        <f>IF((P101&gt;0),O101,0)</f>
        <v>0</v>
      </c>
      <c t="str" r="S101">
        <f>CONCATENATE(F101,E101)</f>
        <v>ChelseaChelsea</v>
      </c>
    </row>
    <row r="102">
      <c t="s" s="7" r="A102">
        <v>73</v>
      </c>
      <c s="7" r="B102">
        <v>60</v>
      </c>
      <c s="7" r="C102">
        <v>50</v>
      </c>
      <c t="s" s="7" r="D102">
        <v>147</v>
      </c>
      <c t="s" s="7" r="E102">
        <v>74</v>
      </c>
      <c t="s" s="7" r="F102">
        <v>74</v>
      </c>
      <c t="s" s="7" r="G102">
        <v>74</v>
      </c>
      <c t="str" s="65" r="H102">
        <f>HYPERLINK("http://sofifa.com/en/fifa13winter/player/150314-wallace-oliveira-dos-santos","Wallace")</f>
        <v>Wallace</v>
      </c>
      <c s="7" r="I102">
        <v>66</v>
      </c>
      <c t="s" s="7" r="J102">
        <v>109</v>
      </c>
      <c t="s" s="7" r="K102">
        <v>139</v>
      </c>
      <c t="s" s="7" r="L102">
        <v>146</v>
      </c>
      <c s="7" r="M102">
        <v>18</v>
      </c>
      <c s="26" r="N102">
        <v>1.3</v>
      </c>
      <c s="23" r="O102">
        <v>0.004</v>
      </c>
      <c s="7" r="P102"/>
      <c s="7" r="Q102"/>
      <c s="7" r="R102">
        <f>IF((P102&gt;0),O102,0)</f>
        <v>0</v>
      </c>
      <c t="str" r="S102">
        <f>CONCATENATE(F102,E102)</f>
        <v>ChelseaChelsea</v>
      </c>
    </row>
    <row r="103">
      <c t="s" s="7" r="A103">
        <v>73</v>
      </c>
      <c s="7" r="B103">
        <v>61</v>
      </c>
      <c s="7" r="C103">
        <v>60</v>
      </c>
      <c t="s" s="7" r="D103">
        <v>147</v>
      </c>
      <c t="s" s="7" r="E103">
        <v>74</v>
      </c>
      <c t="s" s="7" r="F103">
        <v>74</v>
      </c>
      <c t="s" s="7" r="G103">
        <v>74</v>
      </c>
      <c t="str" s="65" r="H103">
        <f>HYPERLINK("http://sofifa.com/en/fifa13winter/player/149754-billy-clifford","B. Clifford")</f>
        <v>B. Clifford</v>
      </c>
      <c s="7" r="I103">
        <v>61</v>
      </c>
      <c t="s" s="7" r="J103">
        <v>124</v>
      </c>
      <c t="s" s="7" r="K103">
        <v>121</v>
      </c>
      <c t="s" s="7" r="L103">
        <v>125</v>
      </c>
      <c s="7" r="M103">
        <v>19</v>
      </c>
      <c s="26" r="N103">
        <v>0.7</v>
      </c>
      <c s="23" r="O103">
        <v>0.003</v>
      </c>
      <c s="7" r="P103"/>
      <c s="7" r="Q103"/>
      <c s="7" r="R103">
        <f>IF((P103&gt;0),O103,0)</f>
        <v>0</v>
      </c>
      <c t="str" r="S103">
        <f>CONCATENATE(F103,E103)</f>
        <v>ChelseaChelsea</v>
      </c>
    </row>
    <row r="104">
      <c t="s" s="7" r="A104">
        <v>73</v>
      </c>
      <c s="7" r="B104">
        <v>62</v>
      </c>
      <c s="7" r="C104">
        <v>49</v>
      </c>
      <c t="s" s="7" r="D104">
        <v>147</v>
      </c>
      <c t="s" s="7" r="E104">
        <v>74</v>
      </c>
      <c t="s" s="7" r="F104">
        <v>74</v>
      </c>
      <c t="s" s="7" r="G104">
        <v>74</v>
      </c>
      <c t="str" s="65" r="H104">
        <f>HYPERLINK("http://sofifa.com/en/fifa13winter/player/149963-tomas-kalas","T. Kalas")</f>
        <v>T. Kalas</v>
      </c>
      <c s="7" r="I104">
        <v>72</v>
      </c>
      <c t="s" s="7" r="J104">
        <v>109</v>
      </c>
      <c t="s" s="7" r="K104">
        <v>167</v>
      </c>
      <c t="s" s="7" r="L104">
        <v>142</v>
      </c>
      <c s="7" r="M104">
        <v>19</v>
      </c>
      <c s="26" r="N104">
        <v>2.8</v>
      </c>
      <c s="23" r="O104">
        <v>0.007</v>
      </c>
      <c s="7" r="P104"/>
      <c s="7" r="Q104"/>
      <c s="7" r="R104">
        <f>IF((P104&gt;0),O104,0)</f>
        <v>0</v>
      </c>
      <c t="str" r="S104">
        <f>CONCATENATE(F104,E104)</f>
        <v>ChelseaChelsea</v>
      </c>
    </row>
    <row r="105">
      <c t="s" s="7" r="A105">
        <v>73</v>
      </c>
      <c s="7" r="B105">
        <v>63</v>
      </c>
      <c s="7" r="C105">
        <v>27</v>
      </c>
      <c t="s" s="7" r="D105">
        <v>147</v>
      </c>
      <c t="s" s="7" r="E105">
        <v>74</v>
      </c>
      <c t="s" s="7" r="F105">
        <v>74</v>
      </c>
      <c t="s" s="7" r="G105">
        <v>74</v>
      </c>
      <c t="str" s="65" r="H105">
        <f>HYPERLINK("http://sofifa.com/en/fifa13winter/player/148582-sam-hutchinson","S. Hutchinson")</f>
        <v>S. Hutchinson</v>
      </c>
      <c s="7" r="I105">
        <v>65</v>
      </c>
      <c t="s" s="7" r="J105">
        <v>109</v>
      </c>
      <c t="s" s="7" r="K105">
        <v>143</v>
      </c>
      <c t="s" s="7" r="L105">
        <v>119</v>
      </c>
      <c s="7" r="M105">
        <v>23</v>
      </c>
      <c s="26" r="N105">
        <v>0.9</v>
      </c>
      <c s="23" r="O105">
        <v>0.005</v>
      </c>
      <c s="7" r="P105"/>
      <c s="7" r="Q105"/>
      <c s="7" r="R105">
        <f>IF((P105&gt;0),O105,0)</f>
        <v>0</v>
      </c>
      <c t="str" r="S105">
        <f>CONCATENATE(F105,E105)</f>
        <v>ChelseaChelsea</v>
      </c>
    </row>
    <row r="106">
      <c t="s" s="7" r="A106">
        <v>73</v>
      </c>
      <c s="7" r="B106">
        <v>64</v>
      </c>
      <c s="7" r="C106">
        <v>31</v>
      </c>
      <c t="s" s="7" r="D106">
        <v>147</v>
      </c>
      <c t="s" s="7" r="E106">
        <v>74</v>
      </c>
      <c t="s" s="7" r="F106">
        <v>74</v>
      </c>
      <c t="s" s="7" r="G106">
        <v>74</v>
      </c>
      <c t="str" s="65" r="H106">
        <f>HYPERLINK("http://sofifa.com/en/fifa13winter/player/149269-gael-kakuta","G. Kakuta")</f>
        <v>G. Kakuta</v>
      </c>
      <c s="7" r="I106">
        <v>73</v>
      </c>
      <c t="s" s="7" r="J106">
        <v>128</v>
      </c>
      <c t="s" s="7" r="K106">
        <v>130</v>
      </c>
      <c t="s" s="7" r="L106">
        <v>141</v>
      </c>
      <c s="7" r="M106">
        <v>21</v>
      </c>
      <c s="26" r="N106">
        <v>3.4</v>
      </c>
      <c s="23" r="O106">
        <v>0.009</v>
      </c>
      <c s="7" r="P106"/>
      <c s="7" r="Q106"/>
      <c s="7" r="R106">
        <f>IF((P106&gt;0),O106,0)</f>
        <v>0</v>
      </c>
      <c t="str" r="S106">
        <f>CONCATENATE(F106,E106)</f>
        <v>ChelseaChelsea</v>
      </c>
    </row>
    <row r="107">
      <c t="s" s="7" r="A107">
        <v>73</v>
      </c>
      <c s="7" r="B107">
        <v>65</v>
      </c>
      <c s="7" r="C107">
        <v>38</v>
      </c>
      <c t="s" s="7" r="D107">
        <v>147</v>
      </c>
      <c t="s" s="7" r="E107">
        <v>74</v>
      </c>
      <c t="s" s="7" r="F107">
        <v>74</v>
      </c>
      <c t="s" s="7" r="G107">
        <v>74</v>
      </c>
      <c t="str" s="65" r="H107">
        <f>HYPERLINK("http://sofifa.com/en/fifa13winter/player/148973-patrick-van-aanholt","P. van Aanholt")</f>
        <v>P. van Aanholt</v>
      </c>
      <c s="7" r="I107">
        <v>72</v>
      </c>
      <c t="s" s="7" r="J107">
        <v>117</v>
      </c>
      <c t="s" s="7" r="K107">
        <v>139</v>
      </c>
      <c t="s" s="7" r="L107">
        <v>163</v>
      </c>
      <c s="7" r="M107">
        <v>22</v>
      </c>
      <c s="26" r="N107">
        <v>2.8</v>
      </c>
      <c s="23" r="O107">
        <v>0.008</v>
      </c>
      <c s="7" r="P107"/>
      <c s="7" r="Q107"/>
      <c s="7" r="R107">
        <f>IF((P107&gt;0),O107,0)</f>
        <v>0</v>
      </c>
      <c t="str" r="S107">
        <f>CONCATENATE(F107,E107)</f>
        <v>ChelseaChelsea</v>
      </c>
    </row>
    <row r="108">
      <c t="s" s="7" r="A108">
        <v>73</v>
      </c>
      <c s="7" r="B108">
        <v>66</v>
      </c>
      <c s="7" r="C108">
        <v>63</v>
      </c>
      <c t="s" s="7" r="D108">
        <v>147</v>
      </c>
      <c t="s" s="7" r="E108">
        <v>74</v>
      </c>
      <c t="s" s="7" r="F108">
        <v>74</v>
      </c>
      <c t="s" s="7" r="G108">
        <v>74</v>
      </c>
      <c t="str" s="65" r="H108">
        <f>HYPERLINK("http://sofifa.com/en/fifa13winter/player/150946-ruben-loftus-cheek","R. Loftus-Cheek")</f>
        <v>R. Loftus-Cheek</v>
      </c>
      <c s="7" r="I108">
        <v>53</v>
      </c>
      <c t="s" s="7" r="J108">
        <v>124</v>
      </c>
      <c t="s" s="7" r="K108">
        <v>159</v>
      </c>
      <c t="s" s="7" r="L108">
        <v>142</v>
      </c>
      <c s="7" r="M108">
        <v>16</v>
      </c>
      <c s="26" r="N108">
        <v>0.1</v>
      </c>
      <c s="23" r="O108">
        <v>0.001</v>
      </c>
      <c s="7" r="P108"/>
      <c s="7" r="Q108"/>
      <c s="7" r="R108">
        <f>IF((P108&gt;0),O108,0)</f>
        <v>0</v>
      </c>
      <c t="str" r="S108">
        <f>CONCATENATE(F108,E108)</f>
        <v>ChelseaChelsea</v>
      </c>
    </row>
    <row r="109">
      <c t="s" s="7" r="A109">
        <v>88</v>
      </c>
      <c s="7" r="B109">
        <v>109</v>
      </c>
      <c s="7" r="C109">
        <v>33</v>
      </c>
      <c t="s" s="7" r="D109">
        <v>162</v>
      </c>
      <c t="s" s="7" r="E109">
        <v>89</v>
      </c>
      <c t="s" s="7" r="F109">
        <v>89</v>
      </c>
      <c t="s" s="7" r="G109">
        <v>89</v>
      </c>
      <c t="str" s="65" r="H109">
        <f>HYPERLINK("http://sofifa.com/en/fifa13winter/player/149520-jonjo-shelvey","J. Shelvey")</f>
        <v>J. Shelvey</v>
      </c>
      <c s="7" r="I109">
        <v>74</v>
      </c>
      <c t="s" s="7" r="J109">
        <v>124</v>
      </c>
      <c t="s" s="7" r="K109">
        <v>110</v>
      </c>
      <c t="s" s="7" r="L109">
        <v>122</v>
      </c>
      <c s="7" r="M109">
        <v>20</v>
      </c>
      <c s="26" r="N109">
        <v>3.7</v>
      </c>
      <c s="23" r="O109">
        <v>0.009</v>
      </c>
      <c s="7" r="P109"/>
      <c s="7" r="Q109"/>
      <c s="7" r="R109">
        <f>IF((P109&gt;0),O109,0)</f>
        <v>0</v>
      </c>
      <c t="str" r="S109">
        <f>CONCATENATE(F109,E109)</f>
        <v>LiverpoolLiverpool</v>
      </c>
    </row>
    <row r="110">
      <c t="s" s="7" r="A110">
        <v>88</v>
      </c>
      <c s="7" r="B110">
        <v>111</v>
      </c>
      <c s="7" r="C110">
        <v>30</v>
      </c>
      <c t="s" s="7" r="D110">
        <v>136</v>
      </c>
      <c t="s" s="7" r="E110">
        <v>89</v>
      </c>
      <c t="s" s="7" r="F110">
        <v>89</v>
      </c>
      <c t="s" s="7" r="G110">
        <v>89</v>
      </c>
      <c t="str" s="65" r="H110">
        <f>HYPERLINK("http://sofifa.com/en/fifa13winter/player/150151-jesus-fernandez-saez","Suso")</f>
        <v>Suso</v>
      </c>
      <c s="7" r="I110">
        <v>73</v>
      </c>
      <c t="s" s="7" r="J110">
        <v>157</v>
      </c>
      <c t="s" s="7" r="K110">
        <v>172</v>
      </c>
      <c t="s" s="7" r="L110">
        <v>111</v>
      </c>
      <c s="7" r="M110">
        <v>18</v>
      </c>
      <c s="26" r="N110">
        <v>3.8</v>
      </c>
      <c s="23" r="O110">
        <v>0.007</v>
      </c>
      <c s="7" r="P110"/>
      <c s="7" r="Q110"/>
      <c s="7" r="R110">
        <f>IF((P110&gt;0),O110,0)</f>
        <v>0</v>
      </c>
      <c t="str" r="S110">
        <f>CONCATENATE(F110,E110)</f>
        <v>LiverpoolLiverpool</v>
      </c>
    </row>
    <row r="111">
      <c t="s" s="7" r="A111">
        <v>88</v>
      </c>
      <c s="7" r="B111">
        <v>112</v>
      </c>
      <c s="7" r="C111">
        <v>47</v>
      </c>
      <c t="s" s="7" r="D111">
        <v>136</v>
      </c>
      <c t="s" s="7" r="E111">
        <v>89</v>
      </c>
      <c t="s" s="7" r="F111">
        <v>89</v>
      </c>
      <c t="s" s="7" r="G111">
        <v>89</v>
      </c>
      <c t="str" s="65" r="H111">
        <f>HYPERLINK("http://sofifa.com/en/fifa13winter/player/149957-andre-wisdom","A. Wisdom")</f>
        <v>A. Wisdom</v>
      </c>
      <c s="7" r="I111">
        <v>69</v>
      </c>
      <c t="s" s="7" r="J111">
        <v>109</v>
      </c>
      <c t="s" s="7" r="K111">
        <v>173</v>
      </c>
      <c t="s" s="7" r="L111">
        <v>161</v>
      </c>
      <c s="7" r="M111">
        <v>19</v>
      </c>
      <c s="26" r="N111">
        <v>1.9</v>
      </c>
      <c s="23" r="O111">
        <v>0.005</v>
      </c>
      <c s="7" r="P111"/>
      <c s="7" r="Q111"/>
      <c s="7" r="R111">
        <f>IF((P111&gt;0),O111,0)</f>
        <v>0</v>
      </c>
      <c t="str" r="S111">
        <f>CONCATENATE(F111,E111)</f>
        <v>LiverpoolLiverpool</v>
      </c>
    </row>
    <row r="112">
      <c t="s" s="7" r="A112">
        <v>88</v>
      </c>
      <c s="7" r="B112">
        <v>113</v>
      </c>
      <c s="7" r="C112">
        <v>16</v>
      </c>
      <c t="s" s="7" r="D112">
        <v>136</v>
      </c>
      <c t="s" s="7" r="E112">
        <v>89</v>
      </c>
      <c t="s" s="7" r="F112">
        <v>89</v>
      </c>
      <c t="s" s="7" r="G112">
        <v>89</v>
      </c>
      <c t="str" s="65" r="H112">
        <f>HYPERLINK("http://sofifa.com/en/fifa13winter/player/149012-sebastian-coates","S. Coates")</f>
        <v>S. Coates</v>
      </c>
      <c s="7" r="I112">
        <v>71</v>
      </c>
      <c t="s" s="7" r="J112">
        <v>113</v>
      </c>
      <c t="s" s="7" r="K112">
        <v>181</v>
      </c>
      <c t="s" s="7" r="L112">
        <v>179</v>
      </c>
      <c s="7" r="M112">
        <v>21</v>
      </c>
      <c s="26" r="N112">
        <v>2.4</v>
      </c>
      <c s="23" r="O112">
        <v>0.007</v>
      </c>
      <c s="7" r="P112"/>
      <c s="7" r="Q112"/>
      <c s="7" r="R112">
        <f>IF((P112&gt;0),O112,0)</f>
        <v>0</v>
      </c>
      <c t="str" r="S112">
        <f>CONCATENATE(F112,E112)</f>
        <v>LiverpoolLiverpool</v>
      </c>
    </row>
    <row r="113">
      <c t="s" s="7" r="A113">
        <v>88</v>
      </c>
      <c s="7" r="B113">
        <v>116</v>
      </c>
      <c s="7" r="C113">
        <v>29</v>
      </c>
      <c t="s" s="7" r="D113">
        <v>136</v>
      </c>
      <c t="s" s="7" r="E113">
        <v>89</v>
      </c>
      <c t="s" s="7" r="F113">
        <v>89</v>
      </c>
      <c t="s" s="7" r="G113">
        <v>89</v>
      </c>
      <c t="str" s="65" r="H113">
        <f>HYPERLINK("http://sofifa.com/en/fifa13winter/player/149179-fabio-borini","F. Borini")</f>
        <v>F. Borini</v>
      </c>
      <c s="7" r="I113">
        <v>75</v>
      </c>
      <c t="s" s="7" r="J113">
        <v>129</v>
      </c>
      <c t="s" s="7" r="K113">
        <v>114</v>
      </c>
      <c t="s" s="7" r="L113">
        <v>119</v>
      </c>
      <c s="7" r="M113">
        <v>21</v>
      </c>
      <c s="26" r="N113">
        <v>5.4</v>
      </c>
      <c s="23" r="O113">
        <v>0.011</v>
      </c>
      <c s="7" r="P113"/>
      <c s="7" r="Q113"/>
      <c s="7" r="R113">
        <f>IF((P113&gt;0),O113,0)</f>
        <v>0</v>
      </c>
      <c t="str" r="S113">
        <f>CONCATENATE(F113,E113)</f>
        <v>LiverpoolLiverpool</v>
      </c>
    </row>
    <row r="114">
      <c t="s" s="7" r="A114">
        <v>88</v>
      </c>
      <c s="7" r="B114">
        <v>118</v>
      </c>
      <c s="7" r="C114">
        <v>1</v>
      </c>
      <c t="s" s="7" r="D114">
        <v>136</v>
      </c>
      <c t="s" s="7" r="E114">
        <v>89</v>
      </c>
      <c t="s" s="7" r="F114">
        <v>89</v>
      </c>
      <c t="s" s="7" r="G114">
        <v>89</v>
      </c>
      <c t="str" s="65" r="H114">
        <f>HYPERLINK("http://sofifa.com/en/fifa13winter/player/145888-brad-jones","B. Jones")</f>
        <v>B. Jones</v>
      </c>
      <c s="7" r="I114">
        <v>71</v>
      </c>
      <c t="s" s="7" r="J114">
        <v>106</v>
      </c>
      <c t="s" s="7" r="K114">
        <v>144</v>
      </c>
      <c t="s" s="7" r="L114">
        <v>137</v>
      </c>
      <c s="7" r="M114">
        <v>30</v>
      </c>
      <c s="26" r="N114">
        <v>1.6</v>
      </c>
      <c s="23" r="O114">
        <v>0.009</v>
      </c>
      <c s="7" r="P114"/>
      <c s="7" r="Q114"/>
      <c s="7" r="R114">
        <f>IF((P114&gt;0),O114,0)</f>
        <v>0</v>
      </c>
      <c t="str" r="S114">
        <f>CONCATENATE(F114,E114)</f>
        <v>LiverpoolLiverpool</v>
      </c>
    </row>
    <row r="115">
      <c t="s" s="7" r="A115">
        <v>88</v>
      </c>
      <c s="7" r="B115">
        <v>121</v>
      </c>
      <c s="7" r="C115">
        <v>14</v>
      </c>
      <c t="s" s="7" r="D115">
        <v>136</v>
      </c>
      <c t="s" s="7" r="E115">
        <v>89</v>
      </c>
      <c t="s" s="7" r="F115">
        <v>89</v>
      </c>
      <c t="s" s="7" r="G115">
        <v>89</v>
      </c>
      <c t="str" s="65" r="H115">
        <f>HYPERLINK("http://sofifa.com/en/fifa13winter/player/148900-jordan-henderson","J. Henderson")</f>
        <v>J. Henderson</v>
      </c>
      <c s="7" r="I115">
        <v>74</v>
      </c>
      <c t="s" s="7" r="J115">
        <v>124</v>
      </c>
      <c t="s" s="7" r="K115">
        <v>143</v>
      </c>
      <c t="s" s="7" r="L115">
        <v>163</v>
      </c>
      <c s="7" r="M115">
        <v>22</v>
      </c>
      <c s="26" r="N115">
        <v>3.6</v>
      </c>
      <c s="23" r="O115">
        <v>0.01</v>
      </c>
      <c s="7" r="P115"/>
      <c s="7" r="Q115"/>
      <c s="7" r="R115">
        <f>IF((P115&gt;0),O115,0)</f>
        <v>0</v>
      </c>
      <c t="str" r="S115">
        <f>CONCATENATE(F115,E115)</f>
        <v>LiverpoolLiverpool</v>
      </c>
    </row>
    <row r="116">
      <c t="s" s="7" r="A116">
        <v>88</v>
      </c>
      <c s="7" r="B116">
        <v>122</v>
      </c>
      <c s="7" r="C116">
        <v>34</v>
      </c>
      <c t="s" s="7" r="D116">
        <v>136</v>
      </c>
      <c t="s" s="7" r="E116">
        <v>89</v>
      </c>
      <c t="s" s="7" r="F116">
        <v>89</v>
      </c>
      <c t="s" s="7" r="G116">
        <v>89</v>
      </c>
      <c t="str" s="65" r="H116">
        <f>HYPERLINK("http://sofifa.com/en/fifa13winter/player/148849-martin-kelly","M. Kelly")</f>
        <v>M. Kelly</v>
      </c>
      <c s="7" r="I116">
        <v>76</v>
      </c>
      <c t="s" s="7" r="J116">
        <v>109</v>
      </c>
      <c t="s" s="7" r="K116">
        <v>144</v>
      </c>
      <c t="s" s="7" r="L116">
        <v>138</v>
      </c>
      <c s="7" r="M116">
        <v>22</v>
      </c>
      <c s="26" r="N116">
        <v>4.9</v>
      </c>
      <c s="23" r="O116">
        <v>0.014</v>
      </c>
      <c s="7" r="P116"/>
      <c s="7" r="Q116"/>
      <c s="7" r="R116">
        <f>IF((P116&gt;0),O116,0)</f>
        <v>0</v>
      </c>
      <c t="str" r="S116">
        <f>CONCATENATE(F116,E116)</f>
        <v>LiverpoolLiverpool</v>
      </c>
    </row>
    <row r="117">
      <c t="s" s="7" r="A117">
        <v>88</v>
      </c>
      <c s="7" r="B117">
        <v>123</v>
      </c>
      <c s="7" r="C117">
        <v>49</v>
      </c>
      <c t="s" s="7" r="D117">
        <v>147</v>
      </c>
      <c t="s" s="7" r="E117">
        <v>89</v>
      </c>
      <c t="s" s="7" r="F117">
        <v>89</v>
      </c>
      <c t="s" s="7" r="G117">
        <v>89</v>
      </c>
      <c t="str" s="65" r="H117">
        <f>HYPERLINK("http://sofifa.com/en/fifa13winter/player/150072-jack-robinson","J. Robinson")</f>
        <v>J. Robinson</v>
      </c>
      <c s="7" r="I117">
        <v>66</v>
      </c>
      <c t="s" s="7" r="J117">
        <v>117</v>
      </c>
      <c t="s" s="7" r="K117">
        <v>114</v>
      </c>
      <c t="s" s="7" r="L117">
        <v>163</v>
      </c>
      <c s="7" r="M117">
        <v>18</v>
      </c>
      <c s="26" r="N117">
        <v>1.3</v>
      </c>
      <c s="23" r="O117">
        <v>0.004</v>
      </c>
      <c s="7" r="P117"/>
      <c s="7" r="Q117"/>
      <c s="7" r="R117">
        <f>IF((P117&gt;0),O117,0)</f>
        <v>0</v>
      </c>
      <c t="str" r="S117">
        <f>CONCATENATE(F117,E117)</f>
        <v>LiverpoolLiverpool</v>
      </c>
    </row>
    <row r="118">
      <c t="s" s="7" r="A118">
        <v>88</v>
      </c>
      <c s="7" r="B118">
        <v>124</v>
      </c>
      <c s="7" r="C118">
        <v>43</v>
      </c>
      <c t="s" s="7" r="D118">
        <v>147</v>
      </c>
      <c t="s" s="7" r="E118">
        <v>89</v>
      </c>
      <c t="s" s="7" r="F118">
        <v>89</v>
      </c>
      <c t="s" s="7" r="G118">
        <v>89</v>
      </c>
      <c t="str" s="65" r="H118">
        <f>HYPERLINK("http://sofifa.com/en/fifa13winter/player/150466-ryan-mclaughlin","R. McLaughlin")</f>
        <v>R. McLaughlin</v>
      </c>
      <c s="7" r="I118">
        <v>55</v>
      </c>
      <c t="s" s="7" r="J118">
        <v>109</v>
      </c>
      <c t="s" s="7" r="K118">
        <v>182</v>
      </c>
      <c t="s" s="7" r="L118">
        <v>111</v>
      </c>
      <c s="7" r="M118">
        <v>17</v>
      </c>
      <c s="26" r="N118">
        <v>0.1</v>
      </c>
      <c s="23" r="O118">
        <v>0.001</v>
      </c>
      <c s="7" r="P118"/>
      <c s="7" r="Q118"/>
      <c s="7" r="R118">
        <f>IF((P118&gt;0),O118,0)</f>
        <v>0</v>
      </c>
      <c t="str" r="S118">
        <f>CONCATENATE(F118,E118)</f>
        <v>LiverpoolLiverpool</v>
      </c>
    </row>
    <row r="119">
      <c t="s" s="7" r="A119">
        <v>88</v>
      </c>
      <c s="7" r="B119">
        <v>125</v>
      </c>
      <c s="7" r="C119">
        <v>52</v>
      </c>
      <c t="s" s="7" r="D119">
        <v>147</v>
      </c>
      <c t="s" s="7" r="E119">
        <v>89</v>
      </c>
      <c t="s" s="7" r="F119">
        <v>89</v>
      </c>
      <c t="s" s="7" r="G119">
        <v>89</v>
      </c>
      <c t="str" s="65" r="H119">
        <f>HYPERLINK("http://sofifa.com/en/fifa13winter/player/150001-danny-ward","D. Ward")</f>
        <v>D. Ward</v>
      </c>
      <c s="7" r="I119">
        <v>57</v>
      </c>
      <c t="s" s="7" r="J119">
        <v>106</v>
      </c>
      <c t="s" s="7" r="K119">
        <v>169</v>
      </c>
      <c t="s" s="7" r="L119">
        <v>142</v>
      </c>
      <c s="7" r="M119">
        <v>19</v>
      </c>
      <c s="26" r="N119">
        <v>0.2</v>
      </c>
      <c s="23" r="O119">
        <v>0.002</v>
      </c>
      <c s="7" r="P119"/>
      <c s="7" r="Q119"/>
      <c s="7" r="R119">
        <f>IF((P119&gt;0),O119,0)</f>
        <v>0</v>
      </c>
      <c t="str" r="S119">
        <f>CONCATENATE(F119,E119)</f>
        <v>LiverpoolLiverpool</v>
      </c>
    </row>
    <row r="120">
      <c t="s" s="7" r="A120">
        <v>88</v>
      </c>
      <c s="7" r="B120">
        <v>126</v>
      </c>
      <c s="7" r="C120">
        <v>50</v>
      </c>
      <c t="s" s="7" r="D120">
        <v>147</v>
      </c>
      <c t="s" s="7" r="E120">
        <v>89</v>
      </c>
      <c t="s" s="7" r="F120">
        <v>89</v>
      </c>
      <c t="s" s="7" r="G120">
        <v>89</v>
      </c>
      <c t="str" s="65" r="H120">
        <f>HYPERLINK("http://sofifa.com/en/fifa13winter/player/150304-adam-morgan","A. Morgan")</f>
        <v>A. Morgan</v>
      </c>
      <c s="7" r="I120">
        <v>64</v>
      </c>
      <c t="s" s="7" r="J120">
        <v>129</v>
      </c>
      <c t="s" s="7" r="K120">
        <v>145</v>
      </c>
      <c t="s" s="7" r="L120">
        <v>122</v>
      </c>
      <c s="7" r="M120">
        <v>18</v>
      </c>
      <c s="26" r="N120">
        <v>1.2</v>
      </c>
      <c s="23" r="O120">
        <v>0.003</v>
      </c>
      <c s="7" r="P120"/>
      <c s="7" r="Q120"/>
      <c s="7" r="R120">
        <f>IF((P120&gt;0),O120,0)</f>
        <v>0</v>
      </c>
      <c t="str" r="S120">
        <f>CONCATENATE(F120,E120)</f>
        <v>LiverpoolLiverpool</v>
      </c>
    </row>
    <row r="121">
      <c t="s" s="7" r="A121">
        <v>88</v>
      </c>
      <c s="7" r="B121">
        <v>127</v>
      </c>
      <c s="7" r="C121">
        <v>44</v>
      </c>
      <c t="s" s="7" r="D121">
        <v>147</v>
      </c>
      <c t="s" s="7" r="E121">
        <v>89</v>
      </c>
      <c t="s" s="7" r="F121">
        <v>89</v>
      </c>
      <c t="s" s="7" r="G121">
        <v>89</v>
      </c>
      <c t="str" s="65" r="H121">
        <f>HYPERLINK("http://sofifa.com/en/fifa13winter/player/150900-jordon-ibe","J. Ibe")</f>
        <v>J. Ibe</v>
      </c>
      <c s="7" r="I121">
        <v>59</v>
      </c>
      <c t="s" s="7" r="J121">
        <v>129</v>
      </c>
      <c t="s" s="7" r="K121">
        <v>121</v>
      </c>
      <c t="s" s="7" r="L121">
        <v>125</v>
      </c>
      <c s="7" r="M121">
        <v>16</v>
      </c>
      <c s="26" r="N121">
        <v>0.6</v>
      </c>
      <c s="23" r="O121">
        <v>0.002</v>
      </c>
      <c s="7" r="P121"/>
      <c s="7" r="Q121"/>
      <c s="7" r="R121">
        <f>IF((P121&gt;0),O121,0)</f>
        <v>0</v>
      </c>
      <c t="str" r="S121">
        <f>CONCATENATE(F121,E121)</f>
        <v>LiverpoolLiverpool</v>
      </c>
    </row>
    <row r="122">
      <c t="s" s="7" r="A122">
        <v>88</v>
      </c>
      <c s="7" r="B122">
        <v>128</v>
      </c>
      <c s="7" r="C122">
        <v>36</v>
      </c>
      <c t="s" s="7" r="D122">
        <v>147</v>
      </c>
      <c t="s" s="7" r="E122">
        <v>89</v>
      </c>
      <c t="s" s="7" r="F122">
        <v>89</v>
      </c>
      <c t="s" s="7" r="G122">
        <v>89</v>
      </c>
      <c t="str" s="65" r="H122">
        <f>HYPERLINK("http://sofifa.com/en/fifa13winter/player/150338-samed-yesil","S. Yesil")</f>
        <v>S. Yesil</v>
      </c>
      <c s="7" r="I122">
        <v>64</v>
      </c>
      <c t="s" s="7" r="J122">
        <v>129</v>
      </c>
      <c t="s" s="7" r="K122">
        <v>114</v>
      </c>
      <c t="s" s="7" r="L122">
        <v>146</v>
      </c>
      <c s="7" r="M122">
        <v>18</v>
      </c>
      <c s="26" r="N122">
        <v>1.2</v>
      </c>
      <c s="23" r="O122">
        <v>0.003</v>
      </c>
      <c s="7" r="P122"/>
      <c s="7" r="Q122"/>
      <c s="7" r="R122">
        <f>IF((P122&gt;0),O122,0)</f>
        <v>0</v>
      </c>
      <c t="str" r="S122">
        <f>CONCATENATE(F122,E122)</f>
        <v>LiverpoolLiverpool</v>
      </c>
    </row>
    <row r="123">
      <c t="s" s="7" r="A123">
        <v>88</v>
      </c>
      <c s="7" r="B123">
        <v>129</v>
      </c>
      <c s="7" r="C123">
        <v>35</v>
      </c>
      <c t="s" s="7" r="D123">
        <v>147</v>
      </c>
      <c t="s" s="7" r="E123">
        <v>89</v>
      </c>
      <c t="s" s="7" r="F123">
        <v>89</v>
      </c>
      <c t="s" s="7" r="G123">
        <v>89</v>
      </c>
      <c t="str" s="65" r="H123">
        <f>HYPERLINK("http://sofifa.com/en/fifa13winter/player/149884-conor-coady","C. Coady")</f>
        <v>C. Coady</v>
      </c>
      <c s="7" r="I123">
        <v>59</v>
      </c>
      <c t="s" s="7" r="J123">
        <v>154</v>
      </c>
      <c t="s" s="7" r="K123">
        <v>167</v>
      </c>
      <c t="s" s="7" r="L123">
        <v>161</v>
      </c>
      <c s="7" r="M123">
        <v>19</v>
      </c>
      <c s="26" r="N123">
        <v>0.4</v>
      </c>
      <c s="23" r="O123">
        <v>0.002</v>
      </c>
      <c s="7" r="P123"/>
      <c s="7" r="Q123"/>
      <c s="7" r="R123">
        <f>IF((P123&gt;0),O123,0)</f>
        <v>0</v>
      </c>
      <c t="str" r="S123">
        <f>CONCATENATE(F123,E123)</f>
        <v>LiverpoolLiverpool</v>
      </c>
    </row>
    <row r="124">
      <c t="s" s="7" r="A124">
        <v>88</v>
      </c>
      <c s="7" r="B124">
        <v>130</v>
      </c>
      <c s="7" r="C124">
        <v>38</v>
      </c>
      <c t="s" s="7" r="D124">
        <v>147</v>
      </c>
      <c t="s" s="7" r="E124">
        <v>89</v>
      </c>
      <c t="s" s="7" r="F124">
        <v>89</v>
      </c>
      <c t="s" s="7" r="G124">
        <v>89</v>
      </c>
      <c t="str" s="65" r="H124">
        <f>HYPERLINK("http://sofifa.com/en/fifa13winter/player/149829-jon-flanagan","J. Flanagan")</f>
        <v>J. Flanagan</v>
      </c>
      <c s="7" r="I124">
        <v>68</v>
      </c>
      <c t="s" s="7" r="J124">
        <v>109</v>
      </c>
      <c t="s" s="7" r="K124">
        <v>150</v>
      </c>
      <c t="s" s="7" r="L124">
        <v>111</v>
      </c>
      <c s="7" r="M124">
        <v>19</v>
      </c>
      <c s="26" r="N124">
        <v>1.7</v>
      </c>
      <c s="23" r="O124">
        <v>0.005</v>
      </c>
      <c s="7" r="P124"/>
      <c s="7" r="Q124"/>
      <c s="7" r="R124">
        <f>IF((P124&gt;0),O124,0)</f>
        <v>0</v>
      </c>
      <c t="str" r="S124">
        <f>CONCATENATE(F124,E124)</f>
        <v>LiverpoolLiverpool</v>
      </c>
    </row>
    <row r="125">
      <c t="s" s="7" r="A125">
        <v>88</v>
      </c>
      <c s="7" r="B125">
        <v>131</v>
      </c>
      <c s="7" r="C125">
        <v>20</v>
      </c>
      <c t="s" s="7" r="D125">
        <v>147</v>
      </c>
      <c t="s" s="7" r="E125">
        <v>89</v>
      </c>
      <c t="s" s="7" r="F125">
        <v>89</v>
      </c>
      <c t="s" s="7" r="G125">
        <v>89</v>
      </c>
      <c t="str" s="65" r="H125">
        <f>HYPERLINK("http://sofifa.com/en/fifa13winter/player/148331-jay-spearing","J. Spearing")</f>
        <v>J. Spearing</v>
      </c>
      <c s="7" r="I125">
        <v>71</v>
      </c>
      <c t="s" s="7" r="J125">
        <v>124</v>
      </c>
      <c t="s" s="7" r="K125">
        <v>148</v>
      </c>
      <c t="s" s="7" r="L125">
        <v>122</v>
      </c>
      <c s="7" r="M125">
        <v>23</v>
      </c>
      <c s="26" r="N125">
        <v>2.3</v>
      </c>
      <c s="23" r="O125">
        <v>0.007</v>
      </c>
      <c s="7" r="P125"/>
      <c s="7" r="Q125"/>
      <c s="7" r="R125">
        <f>IF((P125&gt;0),O125,0)</f>
        <v>0</v>
      </c>
      <c t="str" r="S125">
        <f>CONCATENATE(F125,E125)</f>
        <v>LiverpoolLiverpool</v>
      </c>
    </row>
    <row r="126">
      <c t="s" s="7" r="A126">
        <v>88</v>
      </c>
      <c s="7" r="B126">
        <v>132</v>
      </c>
      <c s="7" r="C126">
        <v>67</v>
      </c>
      <c t="s" s="7" r="D126">
        <v>147</v>
      </c>
      <c t="s" s="7" r="E126">
        <v>89</v>
      </c>
      <c t="s" s="7" r="F126">
        <v>89</v>
      </c>
      <c t="s" s="7" r="G126">
        <v>89</v>
      </c>
      <c t="str" s="65" r="H126">
        <f>HYPERLINK("http://sofifa.com/en/fifa13winter/player/150152-henoc-mukendi","H. Mukendi")</f>
        <v>H. Mukendi</v>
      </c>
      <c s="7" r="I126">
        <v>55</v>
      </c>
      <c t="s" s="7" r="J126">
        <v>129</v>
      </c>
      <c t="s" s="7" r="K126">
        <v>176</v>
      </c>
      <c t="s" s="7" r="L126">
        <v>183</v>
      </c>
      <c s="7" r="M126">
        <v>18</v>
      </c>
      <c s="26" r="N126">
        <v>0.1</v>
      </c>
      <c s="23" r="O126">
        <v>0.002</v>
      </c>
      <c s="7" r="P126"/>
      <c s="7" r="Q126"/>
      <c s="7" r="R126">
        <f>IF((P126&gt;0),O126,0)</f>
        <v>0</v>
      </c>
      <c t="str" r="S126">
        <f>CONCATENATE(F126,E126)</f>
        <v>LiverpoolLiverpool</v>
      </c>
    </row>
    <row r="127">
      <c t="s" s="7" r="A127">
        <v>28</v>
      </c>
      <c s="7" r="B127">
        <v>166</v>
      </c>
      <c s="7" r="C127">
        <v>21</v>
      </c>
      <c t="s" s="7" r="D127">
        <v>106</v>
      </c>
      <c t="s" s="7" r="E127">
        <v>29</v>
      </c>
      <c t="s" s="7" r="F127">
        <v>29</v>
      </c>
      <c t="s" s="7" r="G127">
        <v>29</v>
      </c>
      <c t="str" s="65" r="H127">
        <f>HYPERLINK("http://sofifa.com/en/fifa13winter/player/147391-rob-elliot","R. Elliot")</f>
        <v>R. Elliot</v>
      </c>
      <c s="7" r="I127">
        <v>66</v>
      </c>
      <c t="s" s="7" r="J127">
        <v>106</v>
      </c>
      <c t="s" s="7" r="K127">
        <v>134</v>
      </c>
      <c t="s" s="7" r="L127">
        <v>184</v>
      </c>
      <c s="7" r="M127">
        <v>26</v>
      </c>
      <c s="26" r="N127">
        <v>1</v>
      </c>
      <c s="23" r="O127">
        <v>0.005</v>
      </c>
      <c s="7" r="P127"/>
      <c s="7" r="Q127"/>
      <c s="7" r="R127">
        <f>IF((P127&gt;0),O127,0)</f>
        <v>0</v>
      </c>
      <c t="str" r="S127">
        <f>CONCATENATE(F127,E127)</f>
        <v>NewcastleNewcastle</v>
      </c>
    </row>
    <row r="128">
      <c t="s" s="7" r="A128">
        <v>28</v>
      </c>
      <c s="7" r="B128">
        <v>167</v>
      </c>
      <c s="7" r="C128">
        <v>26</v>
      </c>
      <c t="s" s="7" r="D128">
        <v>109</v>
      </c>
      <c t="s" s="7" r="E128">
        <v>29</v>
      </c>
      <c t="s" s="7" r="F128">
        <v>29</v>
      </c>
      <c t="s" s="7" r="G128">
        <v>29</v>
      </c>
      <c t="str" s="65" r="H128">
        <f>HYPERLINK("http://sofifa.com/en/fifa13winter/player/147115-mathieu-debuchy","M. Debuchy")</f>
        <v>M. Debuchy</v>
      </c>
      <c s="7" r="I128">
        <v>78</v>
      </c>
      <c t="s" s="7" r="J128">
        <v>109</v>
      </c>
      <c t="s" s="7" r="K128">
        <v>172</v>
      </c>
      <c t="s" s="7" r="L128">
        <v>137</v>
      </c>
      <c s="7" r="M128">
        <v>27</v>
      </c>
      <c s="26" r="N128">
        <v>5.9</v>
      </c>
      <c s="23" r="O128">
        <v>0.019</v>
      </c>
      <c s="7" r="P128"/>
      <c s="7" r="Q128"/>
      <c s="7" r="R128">
        <f>IF((P128&gt;0),O128,0)</f>
        <v>0</v>
      </c>
      <c t="str" r="S128">
        <f>CONCATENATE(F128,E128)</f>
        <v>NewcastleNewcastle</v>
      </c>
    </row>
    <row r="129">
      <c t="s" s="7" r="A129">
        <v>28</v>
      </c>
      <c s="7" r="B129">
        <v>168</v>
      </c>
      <c s="7" r="C129">
        <v>27</v>
      </c>
      <c t="s" s="7" r="D129">
        <v>112</v>
      </c>
      <c t="s" s="7" r="E129">
        <v>29</v>
      </c>
      <c t="s" s="7" r="F129">
        <v>29</v>
      </c>
      <c t="s" s="7" r="G129">
        <v>29</v>
      </c>
      <c t="str" s="65" r="H129">
        <f>HYPERLINK("http://sofifa.com/en/fifa13winter/player/147294-steven-taylor","S. Taylor")</f>
        <v>S. Taylor</v>
      </c>
      <c s="7" r="I129">
        <v>76</v>
      </c>
      <c t="s" s="7" r="J129">
        <v>113</v>
      </c>
      <c t="s" s="7" r="K129">
        <v>173</v>
      </c>
      <c t="s" s="7" r="L129">
        <v>185</v>
      </c>
      <c s="7" r="M129">
        <v>26</v>
      </c>
      <c s="26" r="N129">
        <v>4.8</v>
      </c>
      <c s="23" r="O129">
        <v>0.015</v>
      </c>
      <c s="7" r="P129"/>
      <c s="7" r="Q129"/>
      <c s="7" r="R129">
        <f>IF((P129&gt;0),O129,0)</f>
        <v>0</v>
      </c>
      <c t="str" r="S129">
        <f>CONCATENATE(F129,E129)</f>
        <v>NewcastleNewcastle</v>
      </c>
    </row>
    <row r="130">
      <c t="s" s="7" r="A130">
        <v>28</v>
      </c>
      <c s="7" r="B130">
        <v>169</v>
      </c>
      <c s="7" r="C130">
        <v>2</v>
      </c>
      <c t="s" s="7" r="D130">
        <v>116</v>
      </c>
      <c t="s" s="7" r="E130">
        <v>29</v>
      </c>
      <c t="s" s="7" r="F130">
        <v>29</v>
      </c>
      <c t="s" s="7" r="G130">
        <v>29</v>
      </c>
      <c t="str" s="65" r="H130">
        <f>HYPERLINK("http://sofifa.com/en/fifa13winter/player/145832-fabricio-coloccini","F. Coloccini")</f>
        <v>F. Coloccini</v>
      </c>
      <c s="7" r="I130">
        <v>81</v>
      </c>
      <c t="s" s="7" r="J130">
        <v>113</v>
      </c>
      <c t="s" s="7" r="K130">
        <v>167</v>
      </c>
      <c t="s" s="7" r="L130">
        <v>108</v>
      </c>
      <c s="7" r="M130">
        <v>30</v>
      </c>
      <c s="26" r="N130">
        <v>9.7</v>
      </c>
      <c s="23" r="O130">
        <v>0.045</v>
      </c>
      <c s="7" r="P130"/>
      <c s="7" r="Q130"/>
      <c s="7" r="R130">
        <f>IF((P130&gt;0),O130,0)</f>
        <v>0</v>
      </c>
      <c t="str" r="S130">
        <f>CONCATENATE(F130,E130)</f>
        <v>NewcastleNewcastle</v>
      </c>
    </row>
    <row r="131">
      <c t="s" s="7" r="A131">
        <v>28</v>
      </c>
      <c s="7" r="B131">
        <v>170</v>
      </c>
      <c s="7" r="C131">
        <v>3</v>
      </c>
      <c t="s" s="7" r="D131">
        <v>117</v>
      </c>
      <c t="s" s="7" r="E131">
        <v>29</v>
      </c>
      <c t="s" s="7" r="F131">
        <v>29</v>
      </c>
      <c t="s" s="7" r="G131">
        <v>29</v>
      </c>
      <c t="str" s="65" r="H131">
        <f>HYPERLINK("http://sofifa.com/en/fifa13winter/player/149099-davide-santon","D. Santon")</f>
        <v>D. Santon</v>
      </c>
      <c s="7" r="I131">
        <v>75</v>
      </c>
      <c t="s" s="7" r="J131">
        <v>117</v>
      </c>
      <c t="s" s="7" r="K131">
        <v>155</v>
      </c>
      <c t="s" s="7" r="L131">
        <v>108</v>
      </c>
      <c s="7" r="M131">
        <v>21</v>
      </c>
      <c s="26" r="N131">
        <v>4.3</v>
      </c>
      <c s="23" r="O131">
        <v>0.011</v>
      </c>
      <c s="7" r="P131"/>
      <c s="7" r="Q131"/>
      <c s="7" r="R131">
        <f>IF((P131&gt;0),O131,0)</f>
        <v>0</v>
      </c>
      <c t="str" r="S131">
        <f>CONCATENATE(F131,E131)</f>
        <v>NewcastleNewcastle</v>
      </c>
    </row>
    <row r="132">
      <c t="s" s="7" r="A132">
        <v>28</v>
      </c>
      <c s="7" r="B132">
        <v>171</v>
      </c>
      <c s="7" r="C132">
        <v>24</v>
      </c>
      <c t="s" s="7" r="D132">
        <v>186</v>
      </c>
      <c t="s" s="7" r="E132">
        <v>29</v>
      </c>
      <c t="s" s="7" r="F132">
        <v>29</v>
      </c>
      <c t="s" s="7" r="G132">
        <v>29</v>
      </c>
      <c t="str" s="65" r="H132">
        <f>HYPERLINK("http://sofifa.com/en/fifa13winter/player/147443-cheick-tiote","C. Tioté")</f>
        <v>C. Tioté</v>
      </c>
      <c s="7" r="I132">
        <v>80</v>
      </c>
      <c t="s" s="7" r="J132">
        <v>154</v>
      </c>
      <c t="s" s="7" r="K132">
        <v>114</v>
      </c>
      <c t="s" s="7" r="L132">
        <v>180</v>
      </c>
      <c s="7" r="M132">
        <v>26</v>
      </c>
      <c s="26" r="N132">
        <v>8.9</v>
      </c>
      <c s="23" r="O132">
        <v>0.03</v>
      </c>
      <c s="7" r="P132"/>
      <c s="7" r="Q132"/>
      <c s="7" r="R132">
        <f>IF((P132&gt;0),O132,0)</f>
        <v>0</v>
      </c>
      <c t="str" r="S132">
        <f>CONCATENATE(F132,E132)</f>
        <v>NewcastleNewcastle</v>
      </c>
    </row>
    <row r="133">
      <c t="s" s="7" r="A133">
        <v>28</v>
      </c>
      <c s="7" r="B133">
        <v>172</v>
      </c>
      <c s="7" r="C133">
        <v>4</v>
      </c>
      <c t="s" s="7" r="D133">
        <v>174</v>
      </c>
      <c t="s" s="7" r="E133">
        <v>29</v>
      </c>
      <c t="s" s="7" r="F133">
        <v>29</v>
      </c>
      <c t="s" s="7" r="G133">
        <v>29</v>
      </c>
      <c t="str" s="65" r="H133">
        <f>HYPERLINK("http://sofifa.com/en/fifa13winter/player/147285-yohan-cabaye","Y. Cabaye")</f>
        <v>Y. Cabaye</v>
      </c>
      <c s="7" r="I133">
        <v>81</v>
      </c>
      <c t="s" s="7" r="J133">
        <v>124</v>
      </c>
      <c t="s" s="7" r="K133">
        <v>139</v>
      </c>
      <c t="s" s="7" r="L133">
        <v>146</v>
      </c>
      <c s="7" r="M133">
        <v>26</v>
      </c>
      <c s="26" r="N133">
        <v>11.3</v>
      </c>
      <c s="23" r="O133">
        <v>0.04</v>
      </c>
      <c s="7" r="P133"/>
      <c s="7" r="Q133"/>
      <c s="7" r="R133">
        <f>IF((P133&gt;0),O133,0)</f>
        <v>0</v>
      </c>
      <c t="str" r="S133">
        <f>CONCATENATE(F133,E133)</f>
        <v>NewcastleNewcastle</v>
      </c>
    </row>
    <row r="134">
      <c t="s" s="7" r="A134">
        <v>28</v>
      </c>
      <c s="7" r="B134">
        <v>173</v>
      </c>
      <c s="7" r="C134">
        <v>10</v>
      </c>
      <c t="s" s="7" r="D134">
        <v>120</v>
      </c>
      <c t="s" s="7" r="E134">
        <v>29</v>
      </c>
      <c t="s" s="7" r="F134">
        <v>29</v>
      </c>
      <c t="s" s="7" r="G134">
        <v>29</v>
      </c>
      <c t="str" s="65" r="H134">
        <f>HYPERLINK("http://sofifa.com/en/fifa13winter/player/147702-hatem-ben-arfa","H. Ben Arfa")</f>
        <v>H. Ben Arfa</v>
      </c>
      <c s="7" r="I134">
        <v>81</v>
      </c>
      <c t="s" s="7" r="J134">
        <v>157</v>
      </c>
      <c t="s" s="7" r="K134">
        <v>118</v>
      </c>
      <c t="s" s="7" r="L134">
        <v>137</v>
      </c>
      <c s="7" r="M134">
        <v>25</v>
      </c>
      <c s="26" r="N134">
        <v>13.5</v>
      </c>
      <c s="23" r="O134">
        <v>0.04</v>
      </c>
      <c s="7" r="P134"/>
      <c s="7" r="Q134"/>
      <c s="7" r="R134">
        <f>IF((P134&gt;0),O134,0)</f>
        <v>0</v>
      </c>
      <c t="str" r="S134">
        <f>CONCATENATE(F134,E134)</f>
        <v>NewcastleNewcastle</v>
      </c>
    </row>
    <row r="135">
      <c t="s" s="7" r="A135">
        <v>28</v>
      </c>
      <c s="7" r="B135">
        <v>174</v>
      </c>
      <c s="7" r="C135">
        <v>18</v>
      </c>
      <c t="s" s="7" r="D135">
        <v>128</v>
      </c>
      <c t="s" s="7" r="E135">
        <v>29</v>
      </c>
      <c t="s" s="7" r="F135">
        <v>29</v>
      </c>
      <c t="s" s="7" r="G135">
        <v>29</v>
      </c>
      <c t="str" s="65" r="H135">
        <f>HYPERLINK("http://sofifa.com/en/fifa13winter/player/146361-jonas-gutierrez","J. Gutiérrez")</f>
        <v>J. Gutiérrez</v>
      </c>
      <c s="7" r="I135">
        <v>76</v>
      </c>
      <c t="s" s="7" r="J135">
        <v>128</v>
      </c>
      <c t="s" s="7" r="K135">
        <v>110</v>
      </c>
      <c t="s" s="7" r="L135">
        <v>119</v>
      </c>
      <c s="7" r="M135">
        <v>29</v>
      </c>
      <c s="26" r="N135">
        <v>4.9</v>
      </c>
      <c s="23" r="O135">
        <v>0.016</v>
      </c>
      <c s="7" r="P135"/>
      <c s="7" r="Q135"/>
      <c s="7" r="R135">
        <f>IF((P135&gt;0),O135,0)</f>
        <v>0</v>
      </c>
      <c t="str" r="S135">
        <f>CONCATENATE(F135,E135)</f>
        <v>NewcastleNewcastle</v>
      </c>
    </row>
    <row r="136">
      <c t="s" s="7" r="A136">
        <v>28</v>
      </c>
      <c s="7" r="B136">
        <v>175</v>
      </c>
      <c s="7" r="C136">
        <v>11</v>
      </c>
      <c t="s" s="7" r="D136">
        <v>162</v>
      </c>
      <c t="s" s="7" r="E136">
        <v>29</v>
      </c>
      <c t="s" s="7" r="F136">
        <v>29</v>
      </c>
      <c t="s" s="7" r="G136">
        <v>29</v>
      </c>
      <c t="str" s="65" r="H136">
        <f>HYPERLINK("http://sofifa.com/en/fifa13winter/player/147416-yoan-gouffran","Y. Gouffran")</f>
        <v>Y. Gouffran</v>
      </c>
      <c s="7" r="I136">
        <v>77</v>
      </c>
      <c t="s" s="7" r="J136">
        <v>129</v>
      </c>
      <c t="s" s="7" r="K136">
        <v>172</v>
      </c>
      <c t="s" s="7" r="L136">
        <v>137</v>
      </c>
      <c s="7" r="M136">
        <v>26</v>
      </c>
      <c s="26" r="N136">
        <v>6.7</v>
      </c>
      <c s="23" r="O136">
        <v>0.017</v>
      </c>
      <c s="7" r="P136"/>
      <c s="7" r="Q136"/>
      <c s="7" r="R136">
        <f>IF((P136&gt;0),O136,0)</f>
        <v>0</v>
      </c>
      <c t="str" r="S136">
        <f>CONCATENATE(F136,E136)</f>
        <v>NewcastleNewcastle</v>
      </c>
    </row>
    <row r="137">
      <c t="s" s="7" r="A137">
        <v>28</v>
      </c>
      <c s="7" r="B137">
        <v>176</v>
      </c>
      <c s="7" r="C137">
        <v>9</v>
      </c>
      <c t="s" s="7" r="D137">
        <v>129</v>
      </c>
      <c t="s" s="7" r="E137">
        <v>29</v>
      </c>
      <c t="s" s="7" r="F137">
        <v>29</v>
      </c>
      <c t="s" s="7" r="G137">
        <v>29</v>
      </c>
      <c t="str" s="65" r="H137">
        <f>HYPERLINK("http://sofifa.com/en/fifa13winter/player/147060-papiss-demba-cisse","P. Cissé")</f>
        <v>P. Cissé</v>
      </c>
      <c s="7" r="I137">
        <v>81</v>
      </c>
      <c t="s" s="7" r="J137">
        <v>129</v>
      </c>
      <c t="s" s="7" r="K137">
        <v>110</v>
      </c>
      <c t="s" s="7" r="L137">
        <v>119</v>
      </c>
      <c s="7" r="M137">
        <v>27</v>
      </c>
      <c s="26" r="N137">
        <v>13.5</v>
      </c>
      <c s="23" r="O137">
        <v>0.04</v>
      </c>
      <c s="7" r="P137"/>
      <c s="7" r="Q137"/>
      <c s="7" r="R137">
        <f>IF((P137&gt;0),O137,0)</f>
        <v>0</v>
      </c>
      <c t="str" r="S137">
        <f>CONCATENATE(F137,E137)</f>
        <v>NewcastleNewcastle</v>
      </c>
    </row>
    <row r="138">
      <c t="s" s="7" r="A138">
        <v>28</v>
      </c>
      <c s="7" r="B138">
        <v>177</v>
      </c>
      <c s="7" r="C138">
        <v>7</v>
      </c>
      <c t="s" s="7" r="D138">
        <v>136</v>
      </c>
      <c t="s" s="7" r="E138">
        <v>29</v>
      </c>
      <c t="s" s="7" r="F138">
        <v>29</v>
      </c>
      <c t="s" s="7" r="G138">
        <v>29</v>
      </c>
      <c t="str" s="65" r="H138">
        <f>HYPERLINK("http://sofifa.com/en/fifa13winter/player/148595-moussa-sissoko","M. Sissoko")</f>
        <v>M. Sissoko</v>
      </c>
      <c s="7" r="I138">
        <v>75</v>
      </c>
      <c t="s" s="7" r="J138">
        <v>124</v>
      </c>
      <c t="s" s="7" r="K138">
        <v>155</v>
      </c>
      <c t="s" s="7" r="L138">
        <v>108</v>
      </c>
      <c s="7" r="M138">
        <v>23</v>
      </c>
      <c s="26" r="N138">
        <v>4.9</v>
      </c>
      <c s="23" r="O138">
        <v>0.012</v>
      </c>
      <c s="7" r="P138"/>
      <c s="7" r="Q138"/>
      <c s="7" r="R138">
        <f>IF((P138&gt;0),O138,0)</f>
        <v>0</v>
      </c>
      <c t="str" r="S138">
        <f>CONCATENATE(F138,E138)</f>
        <v>NewcastleNewcastle</v>
      </c>
    </row>
    <row r="139">
      <c t="s" s="7" r="A139">
        <v>28</v>
      </c>
      <c s="7" r="B139">
        <v>178</v>
      </c>
      <c s="7" r="C139">
        <v>8</v>
      </c>
      <c t="s" s="7" r="D139">
        <v>136</v>
      </c>
      <c t="s" s="7" r="E139">
        <v>29</v>
      </c>
      <c t="s" s="7" r="F139">
        <v>29</v>
      </c>
      <c t="s" s="7" r="G139">
        <v>29</v>
      </c>
      <c t="str" s="65" r="H139">
        <f>HYPERLINK("http://sofifa.com/en/fifa13winter/player/148461-vurnon-anita","V. Anita")</f>
        <v>V. Anita</v>
      </c>
      <c s="7" r="I139">
        <v>74</v>
      </c>
      <c t="s" s="7" r="J139">
        <v>154</v>
      </c>
      <c t="s" s="7" r="K139">
        <v>148</v>
      </c>
      <c t="s" s="7" r="L139">
        <v>149</v>
      </c>
      <c s="7" r="M139">
        <v>23</v>
      </c>
      <c s="26" r="N139">
        <v>3.3</v>
      </c>
      <c s="23" r="O139">
        <v>0.01</v>
      </c>
      <c s="7" r="P139"/>
      <c s="7" r="Q139"/>
      <c s="7" r="R139">
        <f>IF((P139&gt;0),O139,0)</f>
        <v>0</v>
      </c>
      <c t="str" r="S139">
        <f>CONCATENATE(F139,E139)</f>
        <v>NewcastleNewcastle</v>
      </c>
    </row>
    <row r="140">
      <c t="s" s="7" r="A140">
        <v>28</v>
      </c>
      <c s="7" r="B140">
        <v>179</v>
      </c>
      <c s="7" r="C140">
        <v>16</v>
      </c>
      <c t="s" s="7" r="D140">
        <v>136</v>
      </c>
      <c t="s" s="7" r="E140">
        <v>29</v>
      </c>
      <c t="s" s="7" r="F140">
        <v>29</v>
      </c>
      <c t="s" s="7" r="G140">
        <v>29</v>
      </c>
      <c t="str" s="65" r="H140">
        <f>HYPERLINK("http://sofifa.com/en/fifa13winter/player/146772-ryan-taylor","R. Taylor")</f>
        <v>R. Taylor</v>
      </c>
      <c s="7" r="I140">
        <v>73</v>
      </c>
      <c t="s" s="7" r="J140">
        <v>109</v>
      </c>
      <c t="s" s="7" r="K140">
        <v>145</v>
      </c>
      <c t="s" s="7" r="L140">
        <v>183</v>
      </c>
      <c s="7" r="M140">
        <v>28</v>
      </c>
      <c s="26" r="N140">
        <v>2.8</v>
      </c>
      <c s="23" r="O140">
        <v>0.01</v>
      </c>
      <c s="7" r="P140"/>
      <c s="7" r="Q140"/>
      <c s="7" r="R140">
        <f>IF((P140&gt;0),O140,0)</f>
        <v>0</v>
      </c>
      <c t="str" r="S140">
        <f>CONCATENATE(F140,E140)</f>
        <v>NewcastleNewcastle</v>
      </c>
    </row>
    <row r="141">
      <c t="s" s="7" r="A141">
        <v>28</v>
      </c>
      <c s="7" r="B141">
        <v>180</v>
      </c>
      <c s="7" r="C141">
        <v>20</v>
      </c>
      <c t="s" s="7" r="D141">
        <v>136</v>
      </c>
      <c t="s" s="7" r="E141">
        <v>29</v>
      </c>
      <c t="s" s="7" r="F141">
        <v>29</v>
      </c>
      <c t="s" s="7" r="G141">
        <v>29</v>
      </c>
      <c t="str" s="65" r="H141">
        <f>HYPERLINK("http://sofifa.com/en/fifa13winter/player/150123-gael-bigirimana","G. Bigirimana")</f>
        <v>G. Bigirimana</v>
      </c>
      <c s="7" r="I141">
        <v>63</v>
      </c>
      <c t="s" s="7" r="J141">
        <v>124</v>
      </c>
      <c t="s" s="7" r="K141">
        <v>159</v>
      </c>
      <c t="s" s="7" r="L141">
        <v>160</v>
      </c>
      <c s="7" r="M141">
        <v>18</v>
      </c>
      <c s="26" r="N141">
        <v>0.9</v>
      </c>
      <c s="23" r="O141">
        <v>0.003</v>
      </c>
      <c s="7" r="P141"/>
      <c s="7" r="Q141"/>
      <c s="7" r="R141">
        <f>IF((P141&gt;0),O141,0)</f>
        <v>0</v>
      </c>
      <c t="str" r="S141">
        <f>CONCATENATE(F141,E141)</f>
        <v>NewcastleNewcastle</v>
      </c>
    </row>
    <row r="142">
      <c t="s" s="7" r="A142">
        <v>28</v>
      </c>
      <c s="7" r="B142">
        <v>181</v>
      </c>
      <c s="7" r="C142">
        <v>42</v>
      </c>
      <c t="s" s="7" r="D142">
        <v>136</v>
      </c>
      <c t="s" s="7" r="E142">
        <v>29</v>
      </c>
      <c t="s" s="7" r="F142">
        <v>29</v>
      </c>
      <c t="s" s="7" r="G142">
        <v>29</v>
      </c>
      <c t="str" s="65" r="H142">
        <f>HYPERLINK("http://sofifa.com/en/fifa13winter/player/149996-jak-alnwick","J. Alnwick")</f>
        <v>J. Alnwick</v>
      </c>
      <c s="7" r="I142">
        <v>59</v>
      </c>
      <c t="s" s="7" r="J142">
        <v>106</v>
      </c>
      <c t="s" s="7" r="K142">
        <v>114</v>
      </c>
      <c t="s" s="7" r="L142">
        <v>158</v>
      </c>
      <c s="7" r="M142">
        <v>19</v>
      </c>
      <c s="26" r="N142">
        <v>0.4</v>
      </c>
      <c s="23" r="O142">
        <v>0.002</v>
      </c>
      <c s="7" r="P142"/>
      <c s="7" r="Q142"/>
      <c s="7" r="R142">
        <f>IF((P142&gt;0),O142,0)</f>
        <v>0</v>
      </c>
      <c t="str" r="S142">
        <f>CONCATENATE(F142,E142)</f>
        <v>NewcastleNewcastle</v>
      </c>
    </row>
    <row r="143">
      <c t="s" s="7" r="A143">
        <v>28</v>
      </c>
      <c s="7" r="B143">
        <v>182</v>
      </c>
      <c s="7" r="C143">
        <v>13</v>
      </c>
      <c t="s" s="7" r="D143">
        <v>136</v>
      </c>
      <c t="s" s="7" r="E143">
        <v>29</v>
      </c>
      <c t="s" s="7" r="F143">
        <v>29</v>
      </c>
      <c t="s" s="7" r="G143">
        <v>29</v>
      </c>
      <c t="str" s="65" r="H143">
        <f>HYPERLINK("http://sofifa.com/en/fifa13winter/player/148502-mapou-yanga-mbiwa","M. Yanga-M'Biwa")</f>
        <v>M. Yanga-M'Biwa</v>
      </c>
      <c s="7" r="I143">
        <v>78</v>
      </c>
      <c t="s" s="7" r="J143">
        <v>113</v>
      </c>
      <c t="s" s="7" r="K143">
        <v>167</v>
      </c>
      <c t="s" s="7" r="L143">
        <v>138</v>
      </c>
      <c s="7" r="M143">
        <v>23</v>
      </c>
      <c s="26" r="N143">
        <v>6.7</v>
      </c>
      <c s="23" r="O143">
        <v>0.018</v>
      </c>
      <c s="7" r="P143"/>
      <c s="7" r="Q143"/>
      <c s="7" r="R143">
        <f>IF((P143&gt;0),O143,0)</f>
        <v>0</v>
      </c>
      <c t="str" r="S143">
        <f>CONCATENATE(F143,E143)</f>
        <v>NewcastleNewcastle</v>
      </c>
    </row>
    <row r="144">
      <c t="s" s="7" r="A144">
        <v>28</v>
      </c>
      <c s="7" r="B144">
        <v>183</v>
      </c>
      <c s="7" r="C144">
        <v>25</v>
      </c>
      <c t="s" s="7" r="D144">
        <v>136</v>
      </c>
      <c t="s" s="7" r="E144">
        <v>29</v>
      </c>
      <c t="s" s="7" r="F144">
        <v>29</v>
      </c>
      <c t="s" s="7" r="G144">
        <v>29</v>
      </c>
      <c t="str" s="65" r="H144">
        <f>HYPERLINK("http://sofifa.com/en/fifa13winter/player/148424-gabriel-obertan","G. Obertan")</f>
        <v>G. Obertan</v>
      </c>
      <c s="7" r="I144">
        <v>70</v>
      </c>
      <c t="s" s="7" r="J144">
        <v>120</v>
      </c>
      <c t="s" s="7" r="K144">
        <v>173</v>
      </c>
      <c t="s" s="7" r="L144">
        <v>108</v>
      </c>
      <c s="7" r="M144">
        <v>23</v>
      </c>
      <c s="26" r="N144">
        <v>2</v>
      </c>
      <c s="23" r="O144">
        <v>0.006</v>
      </c>
      <c s="7" r="P144"/>
      <c s="7" r="Q144"/>
      <c s="7" r="R144">
        <f>IF((P144&gt;0),O144,0)</f>
        <v>0</v>
      </c>
      <c t="str" r="S144">
        <f>CONCATENATE(F144,E144)</f>
        <v>NewcastleNewcastle</v>
      </c>
    </row>
    <row r="145">
      <c t="s" s="7" r="A145">
        <v>28</v>
      </c>
      <c s="7" r="B145">
        <v>184</v>
      </c>
      <c s="7" r="C145">
        <v>1</v>
      </c>
      <c t="s" s="7" r="D145">
        <v>136</v>
      </c>
      <c t="s" s="7" r="E145">
        <v>29</v>
      </c>
      <c t="s" s="7" r="F145">
        <v>29</v>
      </c>
      <c t="s" s="7" r="G145">
        <v>29</v>
      </c>
      <c t="str" s="65" r="H145">
        <f>HYPERLINK("http://sofifa.com/en/fifa13winter/player/148095-tim-krul","T. Krul")</f>
        <v>T. Krul</v>
      </c>
      <c s="7" r="I145">
        <v>79</v>
      </c>
      <c t="s" s="7" r="J145">
        <v>106</v>
      </c>
      <c t="s" s="7" r="K145">
        <v>107</v>
      </c>
      <c t="s" s="7" r="L145">
        <v>108</v>
      </c>
      <c s="7" r="M145">
        <v>24</v>
      </c>
      <c s="26" r="N145">
        <v>6.2</v>
      </c>
      <c s="23" r="O145">
        <v>0.022</v>
      </c>
      <c s="7" r="P145"/>
      <c s="7" r="Q145"/>
      <c s="7" r="R145">
        <f>IF((P145&gt;0),O145,0)</f>
        <v>0</v>
      </c>
      <c t="str" r="S145">
        <f>CONCATENATE(F145,E145)</f>
        <v>NewcastleNewcastle</v>
      </c>
    </row>
    <row r="146">
      <c t="s" s="7" r="A146">
        <v>28</v>
      </c>
      <c s="7" r="B146">
        <v>185</v>
      </c>
      <c s="7" r="C146">
        <v>14</v>
      </c>
      <c t="s" s="7" r="D146">
        <v>136</v>
      </c>
      <c t="s" s="7" r="E146">
        <v>29</v>
      </c>
      <c t="s" s="7" r="F146">
        <v>29</v>
      </c>
      <c t="s" s="7" r="G146">
        <v>29</v>
      </c>
      <c t="str" s="65" r="H146">
        <f>HYPERLINK("http://sofifa.com/en/fifa13winter/player/147177-james-perch","J. Perch")</f>
        <v>J. Perch</v>
      </c>
      <c s="7" r="I146">
        <v>69</v>
      </c>
      <c t="s" s="7" r="J146">
        <v>154</v>
      </c>
      <c t="s" s="7" r="K146">
        <v>114</v>
      </c>
      <c t="s" s="7" r="L146">
        <v>153</v>
      </c>
      <c s="7" r="M146">
        <v>26</v>
      </c>
      <c s="26" r="N146">
        <v>1.6</v>
      </c>
      <c s="23" r="O146">
        <v>0.007</v>
      </c>
      <c s="7" r="P146"/>
      <c s="7" r="Q146"/>
      <c s="7" r="R146">
        <f>IF((P146&gt;0),O146,0)</f>
        <v>0</v>
      </c>
      <c t="str" r="S146">
        <f>CONCATENATE(F146,E146)</f>
        <v>NewcastleNewcastle</v>
      </c>
    </row>
    <row r="147">
      <c t="s" s="7" r="A147">
        <v>28</v>
      </c>
      <c s="7" r="B147">
        <v>186</v>
      </c>
      <c s="7" r="C147">
        <v>23</v>
      </c>
      <c t="s" s="7" r="D147">
        <v>136</v>
      </c>
      <c t="s" s="7" r="E147">
        <v>29</v>
      </c>
      <c t="s" s="7" r="F147">
        <v>29</v>
      </c>
      <c t="s" s="7" r="G147">
        <v>29</v>
      </c>
      <c t="str" s="65" r="H147">
        <f>HYPERLINK("http://sofifa.com/en/fifa13winter/player/145730-shola-ameobi","S. Ameobi")</f>
        <v>S. Ameobi</v>
      </c>
      <c s="7" r="I147">
        <v>71</v>
      </c>
      <c t="s" s="7" r="J147">
        <v>129</v>
      </c>
      <c t="s" s="7" r="K147">
        <v>144</v>
      </c>
      <c t="s" s="7" r="L147">
        <v>166</v>
      </c>
      <c s="7" r="M147">
        <v>30</v>
      </c>
      <c s="26" r="N147">
        <v>2.2</v>
      </c>
      <c s="23" r="O147">
        <v>0.009</v>
      </c>
      <c s="7" r="P147"/>
      <c s="7" r="Q147"/>
      <c s="7" r="R147">
        <f>IF((P147&gt;0),O147,0)</f>
        <v>0</v>
      </c>
      <c t="str" r="S147">
        <f>CONCATENATE(F147,E147)</f>
        <v>NewcastleNewcastle</v>
      </c>
    </row>
    <row r="148">
      <c t="s" s="7" r="A148">
        <v>28</v>
      </c>
      <c s="7" r="B148">
        <v>187</v>
      </c>
      <c s="7" r="C148">
        <v>22</v>
      </c>
      <c t="s" s="7" r="D148">
        <v>136</v>
      </c>
      <c t="s" s="7" r="E148">
        <v>29</v>
      </c>
      <c t="s" s="7" r="F148">
        <v>29</v>
      </c>
      <c t="s" s="7" r="G148">
        <v>29</v>
      </c>
      <c t="str" s="65" r="H148">
        <f>HYPERLINK("http://sofifa.com/en/fifa13winter/player/147376-sylvain-marveaux","S. Marveaux")</f>
        <v>S. Marveaux</v>
      </c>
      <c s="7" r="I148">
        <v>75</v>
      </c>
      <c t="s" s="7" r="J148">
        <v>128</v>
      </c>
      <c t="s" s="7" r="K148">
        <v>187</v>
      </c>
      <c t="s" s="7" r="L148">
        <v>125</v>
      </c>
      <c s="7" r="M148">
        <v>26</v>
      </c>
      <c s="26" r="N148">
        <v>4.3</v>
      </c>
      <c s="23" r="O148">
        <v>0.013</v>
      </c>
      <c s="7" r="P148"/>
      <c s="7" r="Q148"/>
      <c s="7" r="R148">
        <f>IF((P148&gt;0),O148,0)</f>
        <v>0</v>
      </c>
      <c t="str" r="S148">
        <f>CONCATENATE(F148,E148)</f>
        <v>NewcastleNewcastle</v>
      </c>
    </row>
    <row r="149">
      <c t="s" s="7" r="A149">
        <v>28</v>
      </c>
      <c s="7" r="B149">
        <v>188</v>
      </c>
      <c s="7" r="C149">
        <v>6</v>
      </c>
      <c t="s" s="7" r="D149">
        <v>136</v>
      </c>
      <c t="s" s="7" r="E149">
        <v>29</v>
      </c>
      <c t="s" s="7" r="F149">
        <v>29</v>
      </c>
      <c t="s" s="7" r="G149">
        <v>29</v>
      </c>
      <c t="str" s="65" r="H149">
        <f>HYPERLINK("http://sofifa.com/en/fifa13winter/player/146487-mike-williamson","M. Williamson")</f>
        <v>M. Williamson</v>
      </c>
      <c s="7" r="I149">
        <v>74</v>
      </c>
      <c t="s" s="7" r="J149">
        <v>113</v>
      </c>
      <c t="s" s="7" r="K149">
        <v>188</v>
      </c>
      <c t="s" s="7" r="L149">
        <v>135</v>
      </c>
      <c s="7" r="M149">
        <v>28</v>
      </c>
      <c s="26" r="N149">
        <v>3.2</v>
      </c>
      <c s="23" r="O149">
        <v>0.011</v>
      </c>
      <c s="7" r="P149"/>
      <c s="7" r="Q149"/>
      <c s="7" r="R149">
        <f>IF((P149&gt;0),O149,0)</f>
        <v>0</v>
      </c>
      <c t="str" r="S149">
        <f>CONCATENATE(F149,E149)</f>
        <v>NewcastleNewcastle</v>
      </c>
    </row>
    <row r="150">
      <c t="s" s="7" r="A150">
        <v>28</v>
      </c>
      <c s="7" r="B150">
        <v>189</v>
      </c>
      <c s="7" r="C150">
        <v>28</v>
      </c>
      <c t="s" s="7" r="D150">
        <v>147</v>
      </c>
      <c t="s" s="7" r="E150">
        <v>29</v>
      </c>
      <c t="s" s="7" r="F150">
        <v>29</v>
      </c>
      <c t="s" s="7" r="G150">
        <v>29</v>
      </c>
      <c t="str" s="65" r="H150">
        <f>HYPERLINK("http://sofifa.com/en/fifa13winter/player/149584-sammy-ameobi","S. Ameobi")</f>
        <v>S. Ameobi</v>
      </c>
      <c s="7" r="I150">
        <v>64</v>
      </c>
      <c t="s" s="7" r="J150">
        <v>128</v>
      </c>
      <c t="s" s="7" r="K150">
        <v>188</v>
      </c>
      <c t="s" s="7" r="L150">
        <v>138</v>
      </c>
      <c s="7" r="M150">
        <v>20</v>
      </c>
      <c s="26" r="N150">
        <v>1</v>
      </c>
      <c s="23" r="O150">
        <v>0.004</v>
      </c>
      <c s="7" r="P150"/>
      <c s="7" r="Q150"/>
      <c s="7" r="R150">
        <f>IF((P150&gt;0),O150,0)</f>
        <v>0</v>
      </c>
      <c t="str" r="S150">
        <f>CONCATENATE(F150,E150)</f>
        <v>NewcastleNewcastle</v>
      </c>
    </row>
    <row r="151">
      <c t="s" s="7" r="A151">
        <v>28</v>
      </c>
      <c s="7" r="B151">
        <v>190</v>
      </c>
      <c s="7" r="C151">
        <v>33</v>
      </c>
      <c t="s" s="7" r="D151">
        <v>147</v>
      </c>
      <c t="s" s="7" r="E151">
        <v>29</v>
      </c>
      <c t="s" s="7" r="F151">
        <v>29</v>
      </c>
      <c t="s" s="7" r="G151">
        <v>29</v>
      </c>
      <c t="str" s="65" r="H151">
        <f>HYPERLINK("http://sofifa.com/en/fifa13winter/player/149910-curtis-good","C. Good")</f>
        <v>C. Good</v>
      </c>
      <c s="7" r="I151">
        <v>61</v>
      </c>
      <c t="s" s="7" r="J151">
        <v>113</v>
      </c>
      <c t="s" s="7" r="K151">
        <v>155</v>
      </c>
      <c t="s" s="7" r="L151">
        <v>179</v>
      </c>
      <c s="7" r="M151">
        <v>19</v>
      </c>
      <c s="26" r="N151">
        <v>0.7</v>
      </c>
      <c s="23" r="O151">
        <v>0.003</v>
      </c>
      <c s="7" r="P151"/>
      <c s="7" r="Q151"/>
      <c s="7" r="R151">
        <f>IF((P151&gt;0),O151,0)</f>
        <v>0</v>
      </c>
      <c t="str" r="S151">
        <f>CONCATENATE(F151,E151)</f>
        <v>NewcastleNewcastle</v>
      </c>
    </row>
    <row r="152">
      <c t="s" s="7" r="A152">
        <v>28</v>
      </c>
      <c s="7" r="B152">
        <v>191</v>
      </c>
      <c s="7" r="C152">
        <v>19</v>
      </c>
      <c t="s" s="7" r="D152">
        <v>147</v>
      </c>
      <c t="s" s="7" r="E152">
        <v>29</v>
      </c>
      <c t="s" s="7" r="F152">
        <v>29</v>
      </c>
      <c t="s" s="7" r="G152">
        <v>29</v>
      </c>
      <c t="str" s="65" r="H152">
        <f>HYPERLINK("http://sofifa.com/en/fifa13winter/player/149799-massadio-haidara","M. Haïdara")</f>
        <v>M. Haïdara</v>
      </c>
      <c s="7" r="I152">
        <v>69</v>
      </c>
      <c t="s" s="7" r="J152">
        <v>117</v>
      </c>
      <c t="s" s="7" r="K152">
        <v>145</v>
      </c>
      <c t="s" s="7" r="L152">
        <v>151</v>
      </c>
      <c s="7" r="M152">
        <v>19</v>
      </c>
      <c s="26" r="N152">
        <v>1.9</v>
      </c>
      <c s="23" r="O152">
        <v>0.005</v>
      </c>
      <c s="7" r="P152"/>
      <c s="7" r="Q152"/>
      <c s="7" r="R152">
        <f>IF((P152&gt;0),O152,0)</f>
        <v>0</v>
      </c>
      <c t="str" r="S152">
        <f>CONCATENATE(F152,E152)</f>
        <v>NewcastleNewcastle</v>
      </c>
    </row>
    <row r="153">
      <c t="s" s="7" r="A153">
        <v>28</v>
      </c>
      <c s="7" r="B153">
        <v>192</v>
      </c>
      <c s="7" r="C153">
        <v>17</v>
      </c>
      <c t="s" s="7" r="D153">
        <v>147</v>
      </c>
      <c t="s" s="7" r="E153">
        <v>29</v>
      </c>
      <c t="s" s="7" r="F153">
        <v>29</v>
      </c>
      <c t="s" s="7" r="G153">
        <v>29</v>
      </c>
      <c t="str" s="65" r="H153">
        <f>HYPERLINK("http://sofifa.com/en/fifa13winter/player/148606-romain-amalfitano","R. Amalfitano")</f>
        <v>R. Amalfitano</v>
      </c>
      <c s="7" r="I153">
        <v>68</v>
      </c>
      <c t="s" s="7" r="J153">
        <v>162</v>
      </c>
      <c t="s" s="7" r="K153">
        <v>139</v>
      </c>
      <c t="s" s="7" r="L153">
        <v>146</v>
      </c>
      <c s="7" r="M153">
        <v>23</v>
      </c>
      <c s="26" r="N153">
        <v>1.8</v>
      </c>
      <c s="23" r="O153">
        <v>0.006</v>
      </c>
      <c s="7" r="P153"/>
      <c s="7" r="Q153"/>
      <c s="7" r="R153">
        <f>IF((P153&gt;0),O153,0)</f>
        <v>0</v>
      </c>
      <c t="str" r="S153">
        <f>CONCATENATE(F153,E153)</f>
        <v>NewcastleNewcastle</v>
      </c>
    </row>
    <row r="154">
      <c t="s" s="7" r="A154">
        <v>28</v>
      </c>
      <c s="7" r="B154">
        <v>193</v>
      </c>
      <c s="7" r="C154">
        <v>34</v>
      </c>
      <c t="s" s="7" r="D154">
        <v>147</v>
      </c>
      <c t="s" s="7" r="E154">
        <v>29</v>
      </c>
      <c t="s" s="7" r="F154">
        <v>29</v>
      </c>
      <c t="s" s="7" r="G154">
        <v>29</v>
      </c>
      <c t="str" s="65" r="H154">
        <f>HYPERLINK("http://sofifa.com/en/fifa13winter/player/149401-james-tavernier","J. Tavernier")</f>
        <v>J. Tavernier</v>
      </c>
      <c s="7" r="I154">
        <v>63</v>
      </c>
      <c t="s" s="7" r="J154">
        <v>109</v>
      </c>
      <c t="s" s="7" r="K154">
        <v>139</v>
      </c>
      <c t="s" s="7" r="L154">
        <v>183</v>
      </c>
      <c s="7" r="M154">
        <v>20</v>
      </c>
      <c s="26" r="N154">
        <v>0.8</v>
      </c>
      <c s="23" r="O154">
        <v>0.003</v>
      </c>
      <c s="7" r="P154"/>
      <c s="7" r="Q154"/>
      <c s="7" r="R154">
        <f>IF((P154&gt;0),O154,0)</f>
        <v>0</v>
      </c>
      <c t="str" r="S154">
        <f>CONCATENATE(F154,E154)</f>
        <v>NewcastleNewcastle</v>
      </c>
    </row>
    <row r="155">
      <c t="s" s="7" r="A155">
        <v>28</v>
      </c>
      <c s="7" r="B155">
        <v>194</v>
      </c>
      <c s="7" r="C155">
        <v>31</v>
      </c>
      <c t="s" s="7" r="D155">
        <v>147</v>
      </c>
      <c t="s" s="7" r="E155">
        <v>29</v>
      </c>
      <c t="s" s="7" r="F155">
        <v>29</v>
      </c>
      <c t="s" s="7" r="G155">
        <v>29</v>
      </c>
      <c t="str" s="65" r="H155">
        <f>HYPERLINK("http://sofifa.com/en/fifa13winter/player/149290-shane-ferguson","S. Ferguson")</f>
        <v>S. Ferguson</v>
      </c>
      <c s="7" r="I155">
        <v>66</v>
      </c>
      <c t="s" s="7" r="J155">
        <v>128</v>
      </c>
      <c t="s" s="7" r="K155">
        <v>139</v>
      </c>
      <c t="s" s="7" r="L155">
        <v>125</v>
      </c>
      <c s="7" r="M155">
        <v>21</v>
      </c>
      <c s="26" r="N155">
        <v>1.3</v>
      </c>
      <c s="23" r="O155">
        <v>0.005</v>
      </c>
      <c s="7" r="P155"/>
      <c s="7" r="Q155"/>
      <c s="7" r="R155">
        <f>IF((P155&gt;0),O155,0)</f>
        <v>0</v>
      </c>
      <c t="str" r="S155">
        <f>CONCATENATE(F155,E155)</f>
        <v>NewcastleNewcastle</v>
      </c>
    </row>
    <row r="156">
      <c t="s" s="7" r="A156">
        <v>28</v>
      </c>
      <c s="7" r="B156">
        <v>195</v>
      </c>
      <c s="7" r="C156">
        <v>56</v>
      </c>
      <c t="s" s="7" r="D156">
        <v>147</v>
      </c>
      <c t="s" s="7" r="E156">
        <v>29</v>
      </c>
      <c t="s" s="7" r="F156">
        <v>29</v>
      </c>
      <c t="s" s="7" r="G156">
        <v>29</v>
      </c>
      <c t="str" s="65" r="H156">
        <f>HYPERLINK("http://sofifa.com/en/fifa13winter/player/149441-bradden-inman","B. Inman")</f>
        <v>B. Inman</v>
      </c>
      <c s="7" r="I156">
        <v>60</v>
      </c>
      <c t="s" s="7" r="J156">
        <v>124</v>
      </c>
      <c t="s" s="7" r="K156">
        <v>172</v>
      </c>
      <c t="s" s="7" r="L156">
        <v>142</v>
      </c>
      <c s="7" r="M156">
        <v>20</v>
      </c>
      <c s="26" r="N156">
        <v>0.5</v>
      </c>
      <c s="23" r="O156">
        <v>0.003</v>
      </c>
      <c s="7" r="P156"/>
      <c s="7" r="Q156"/>
      <c s="7" r="R156">
        <f>IF((P156&gt;0),O156,0)</f>
        <v>0</v>
      </c>
      <c t="str" r="S156">
        <f>CONCATENATE(F156,E156)</f>
        <v>NewcastleNewcastle</v>
      </c>
    </row>
    <row r="157">
      <c t="s" s="7" r="A157">
        <v>28</v>
      </c>
      <c s="7" r="B157">
        <v>196</v>
      </c>
      <c s="7" r="C157">
        <v>29</v>
      </c>
      <c t="s" s="7" r="D157">
        <v>147</v>
      </c>
      <c t="s" s="7" r="E157">
        <v>29</v>
      </c>
      <c t="s" s="7" r="F157">
        <v>29</v>
      </c>
      <c t="s" s="7" r="G157">
        <v>29</v>
      </c>
      <c t="str" s="65" r="H157">
        <f>HYPERLINK("http://sofifa.com/en/fifa13winter/player/149696-haris-vuckic","H. Vučkić")</f>
        <v>H. Vučkić</v>
      </c>
      <c s="7" r="I157">
        <v>65</v>
      </c>
      <c t="s" s="7" r="J157">
        <v>171</v>
      </c>
      <c t="s" s="7" r="K157">
        <v>134</v>
      </c>
      <c t="s" s="7" r="L157">
        <v>108</v>
      </c>
      <c s="7" r="M157">
        <v>20</v>
      </c>
      <c s="26" r="N157">
        <v>1.3</v>
      </c>
      <c s="23" r="O157">
        <v>0.004</v>
      </c>
      <c s="7" r="P157"/>
      <c s="7" r="Q157"/>
      <c s="7" r="R157">
        <f>IF((P157&gt;0),O157,0)</f>
        <v>0</v>
      </c>
      <c t="str" r="S157">
        <f>CONCATENATE(F157,E157)</f>
        <v>NewcastleNewcastle</v>
      </c>
    </row>
    <row r="158">
      <c t="s" s="7" r="A158">
        <v>28</v>
      </c>
      <c s="7" r="B158">
        <v>197</v>
      </c>
      <c s="7" r="C158">
        <v>15</v>
      </c>
      <c t="s" s="7" r="D158">
        <v>147</v>
      </c>
      <c t="s" s="7" r="E158">
        <v>29</v>
      </c>
      <c t="s" s="7" r="F158">
        <v>29</v>
      </c>
      <c t="s" s="7" r="G158">
        <v>29</v>
      </c>
      <c t="str" s="65" r="H158">
        <f>HYPERLINK("http://sofifa.com/en/fifa13winter/player/148764-dan-gosling","D. Gosling")</f>
        <v>D. Gosling</v>
      </c>
      <c s="7" r="I158">
        <v>73</v>
      </c>
      <c t="s" s="7" r="J158">
        <v>124</v>
      </c>
      <c t="s" s="7" r="K158">
        <v>110</v>
      </c>
      <c t="s" s="7" r="L158">
        <v>158</v>
      </c>
      <c s="7" r="M158">
        <v>22</v>
      </c>
      <c s="26" r="N158">
        <v>3.2</v>
      </c>
      <c s="23" r="O158">
        <v>0.009</v>
      </c>
      <c s="7" r="P158"/>
      <c s="7" r="Q158"/>
      <c s="7" r="R158">
        <f>IF((P158&gt;0),O158,0)</f>
        <v>0</v>
      </c>
      <c t="str" r="S158">
        <f>CONCATENATE(F158,E158)</f>
        <v>NewcastleNewcastle</v>
      </c>
    </row>
    <row r="159">
      <c t="s" s="7" r="A159">
        <v>28</v>
      </c>
      <c s="7" r="B159">
        <v>198</v>
      </c>
      <c s="7" r="C159">
        <v>49</v>
      </c>
      <c t="s" s="7" r="D159">
        <v>147</v>
      </c>
      <c t="s" s="7" r="E159">
        <v>29</v>
      </c>
      <c t="s" s="7" r="F159">
        <v>29</v>
      </c>
      <c t="s" s="7" r="G159">
        <v>29</v>
      </c>
      <c t="str" s="65" r="H159">
        <f>HYPERLINK("http://sofifa.com/en/fifa13winter/player/150559-adam-campbell","A. Campbell")</f>
        <v>A. Campbell</v>
      </c>
      <c s="7" r="I159">
        <v>59</v>
      </c>
      <c t="s" s="7" r="J159">
        <v>129</v>
      </c>
      <c t="s" s="7" r="K159">
        <v>148</v>
      </c>
      <c t="s" s="7" r="L159">
        <v>119</v>
      </c>
      <c s="7" r="M159">
        <v>17</v>
      </c>
      <c s="26" r="N159">
        <v>0.6</v>
      </c>
      <c s="23" r="O159">
        <v>0.002</v>
      </c>
      <c s="7" r="P159"/>
      <c s="7" r="Q159"/>
      <c s="7" r="R159">
        <f>IF((P159&gt;0),O159,0)</f>
        <v>0</v>
      </c>
      <c t="str" r="S159">
        <f>CONCATENATE(F159,E159)</f>
        <v>NewcastleNewcastle</v>
      </c>
    </row>
    <row r="160">
      <c t="s" s="7" r="A160">
        <v>53</v>
      </c>
      <c s="7" r="B160">
        <v>341</v>
      </c>
      <c s="7" r="C160">
        <v>1</v>
      </c>
      <c t="s" s="7" r="D160">
        <v>106</v>
      </c>
      <c t="s" s="7" r="E160">
        <v>54</v>
      </c>
      <c t="s" s="7" r="F160">
        <v>54</v>
      </c>
      <c t="s" s="7" r="G160">
        <v>54</v>
      </c>
      <c t="str" s="65" r="H160">
        <f>HYPERLINK("http://sofifa.com/en/fifa13winter/player/148078-fraser-forster","F. Forster")</f>
        <v>F. Forster</v>
      </c>
      <c s="7" r="I160">
        <v>76</v>
      </c>
      <c t="s" s="7" r="J160">
        <v>106</v>
      </c>
      <c t="s" s="7" r="K160">
        <v>189</v>
      </c>
      <c t="s" s="7" r="L160">
        <v>184</v>
      </c>
      <c s="7" r="M160">
        <v>24</v>
      </c>
      <c s="26" r="N160">
        <v>4.2</v>
      </c>
      <c s="23" r="O160">
        <v>0.015</v>
      </c>
      <c s="7" r="P160"/>
      <c s="7" r="Q160"/>
      <c s="7" r="R160">
        <f>IF((P160&gt;0),O160,0)</f>
        <v>0</v>
      </c>
      <c t="str" r="S160">
        <f>CONCATENATE(F160,E160)</f>
        <v>CelticCeltic</v>
      </c>
    </row>
    <row r="161">
      <c t="s" s="7" r="A161">
        <v>53</v>
      </c>
      <c s="7" r="B161">
        <v>342</v>
      </c>
      <c s="7" r="C161">
        <v>23</v>
      </c>
      <c t="s" s="7" r="D161">
        <v>109</v>
      </c>
      <c t="s" s="7" r="E161">
        <v>54</v>
      </c>
      <c t="s" s="7" r="F161">
        <v>54</v>
      </c>
      <c t="s" s="7" r="G161">
        <v>54</v>
      </c>
      <c t="str" s="65" r="H161">
        <f>HYPERLINK("http://sofifa.com/en/fifa13winter/player/147618-mikael-lustig","M. Lustig")</f>
        <v>M. Lustig</v>
      </c>
      <c s="7" r="I161">
        <v>72</v>
      </c>
      <c t="s" s="7" r="J161">
        <v>109</v>
      </c>
      <c t="s" s="7" r="K161">
        <v>169</v>
      </c>
      <c t="s" s="7" r="L161">
        <v>138</v>
      </c>
      <c s="7" r="M161">
        <v>25</v>
      </c>
      <c s="26" r="N161">
        <v>2.5</v>
      </c>
      <c s="23" r="O161">
        <v>0.009</v>
      </c>
      <c s="7" r="P161"/>
      <c s="7" r="Q161"/>
      <c s="7" r="R161">
        <f>IF((P161&gt;0),O161,0)</f>
        <v>0</v>
      </c>
      <c t="str" r="S161">
        <f>CONCATENATE(F161,E161)</f>
        <v>CelticCeltic</v>
      </c>
    </row>
    <row r="162">
      <c t="s" s="7" r="A162">
        <v>53</v>
      </c>
      <c s="7" r="B162">
        <v>343</v>
      </c>
      <c s="7" r="C162">
        <v>6</v>
      </c>
      <c t="s" s="7" r="D162">
        <v>112</v>
      </c>
      <c t="s" s="7" r="E162">
        <v>54</v>
      </c>
      <c t="s" s="7" r="F162">
        <v>54</v>
      </c>
      <c t="s" s="7" r="G162">
        <v>54</v>
      </c>
      <c t="str" s="65" r="H162">
        <f>HYPERLINK("http://sofifa.com/en/fifa13winter/player/147152-kelvin-wilson","K. Wilson")</f>
        <v>K. Wilson</v>
      </c>
      <c s="7" r="I162">
        <v>71</v>
      </c>
      <c t="s" s="7" r="J162">
        <v>113</v>
      </c>
      <c t="s" s="7" r="K162">
        <v>155</v>
      </c>
      <c t="s" s="7" r="L162">
        <v>138</v>
      </c>
      <c s="7" r="M162">
        <v>26</v>
      </c>
      <c s="26" r="N162">
        <v>2.2</v>
      </c>
      <c s="23" r="O162">
        <v>0.008</v>
      </c>
      <c s="7" r="P162"/>
      <c s="7" r="Q162"/>
      <c s="7" r="R162">
        <f>IF((P162&gt;0),O162,0)</f>
        <v>0</v>
      </c>
      <c t="str" r="S162">
        <f>CONCATENATE(F162,E162)</f>
        <v>CelticCeltic</v>
      </c>
    </row>
    <row r="163">
      <c t="s" s="7" r="A163">
        <v>53</v>
      </c>
      <c s="7" r="B163">
        <v>344</v>
      </c>
      <c s="7" r="C163">
        <v>21</v>
      </c>
      <c t="s" s="7" r="D163">
        <v>116</v>
      </c>
      <c t="s" s="7" r="E163">
        <v>54</v>
      </c>
      <c t="s" s="7" r="F163">
        <v>54</v>
      </c>
      <c t="s" s="7" r="G163">
        <v>54</v>
      </c>
      <c t="str" s="65" r="H163">
        <f>HYPERLINK("http://sofifa.com/en/fifa13winter/player/147336-charlie-mulgrew","C. Mulgrew")</f>
        <v>C. Mulgrew</v>
      </c>
      <c s="7" r="I163">
        <v>72</v>
      </c>
      <c t="s" s="7" r="J163">
        <v>113</v>
      </c>
      <c t="s" s="7" r="K163">
        <v>144</v>
      </c>
      <c t="s" s="7" r="L163">
        <v>108</v>
      </c>
      <c s="7" r="M163">
        <v>26</v>
      </c>
      <c s="26" r="N163">
        <v>2.5</v>
      </c>
      <c s="23" r="O163">
        <v>0.009</v>
      </c>
      <c s="7" r="P163"/>
      <c s="7" r="Q163"/>
      <c s="7" r="R163">
        <f>IF((P163&gt;0),O163,0)</f>
        <v>0</v>
      </c>
      <c t="str" r="S163">
        <f>CONCATENATE(F163,E163)</f>
        <v>CelticCeltic</v>
      </c>
    </row>
    <row r="164">
      <c t="s" s="7" r="A164">
        <v>53</v>
      </c>
      <c s="7" r="B164">
        <v>345</v>
      </c>
      <c s="7" r="C164">
        <v>3</v>
      </c>
      <c t="s" s="7" r="D164">
        <v>117</v>
      </c>
      <c t="s" s="7" r="E164">
        <v>54</v>
      </c>
      <c t="s" s="7" r="F164">
        <v>54</v>
      </c>
      <c t="s" s="7" r="G164">
        <v>54</v>
      </c>
      <c t="str" s="65" r="H164">
        <f>HYPERLINK("http://sofifa.com/en/fifa13winter/player/147401-emilio-izaguirre","E. Izaguirre")</f>
        <v>E. Izaguirre</v>
      </c>
      <c s="7" r="I164">
        <v>71</v>
      </c>
      <c t="s" s="7" r="J164">
        <v>117</v>
      </c>
      <c t="s" s="7" r="K164">
        <v>159</v>
      </c>
      <c t="s" s="7" r="L164">
        <v>119</v>
      </c>
      <c s="7" r="M164">
        <v>26</v>
      </c>
      <c s="26" r="N164">
        <v>2</v>
      </c>
      <c s="23" r="O164">
        <v>0.008</v>
      </c>
      <c s="7" r="P164"/>
      <c s="7" r="Q164"/>
      <c s="7" r="R164">
        <f>IF((P164&gt;0),O164,0)</f>
        <v>0</v>
      </c>
      <c t="str" r="S164">
        <f>CONCATENATE(F164,E164)</f>
        <v>CelticCeltic</v>
      </c>
    </row>
    <row r="165">
      <c t="s" s="7" r="A165">
        <v>53</v>
      </c>
      <c s="7" r="B165">
        <v>346</v>
      </c>
      <c s="7" r="C165">
        <v>49</v>
      </c>
      <c t="s" s="7" r="D165">
        <v>120</v>
      </c>
      <c t="s" s="7" r="E165">
        <v>54</v>
      </c>
      <c t="s" s="7" r="F165">
        <v>54</v>
      </c>
      <c t="s" s="7" r="G165">
        <v>54</v>
      </c>
      <c t="str" s="65" r="H165">
        <f>HYPERLINK("http://sofifa.com/en/fifa13winter/player/149285-james-forrest","J. Forrest")</f>
        <v>J. Forrest</v>
      </c>
      <c s="7" r="I165">
        <v>72</v>
      </c>
      <c t="s" s="7" r="J165">
        <v>120</v>
      </c>
      <c t="s" s="7" r="K165">
        <v>121</v>
      </c>
      <c t="s" s="7" r="L165">
        <v>163</v>
      </c>
      <c s="7" r="M165">
        <v>21</v>
      </c>
      <c s="26" r="N165">
        <v>3.2</v>
      </c>
      <c s="23" r="O165">
        <v>0.008</v>
      </c>
      <c s="7" r="P165"/>
      <c s="7" r="Q165"/>
      <c s="7" r="R165">
        <f>IF((P165&gt;0),O165,0)</f>
        <v>0</v>
      </c>
      <c t="str" r="S165">
        <f>CONCATENATE(F165,E165)</f>
        <v>CelticCeltic</v>
      </c>
    </row>
    <row r="166">
      <c t="s" s="68" r="A166">
        <v>53</v>
      </c>
      <c s="68" r="B166">
        <v>347</v>
      </c>
      <c s="68" r="C166">
        <v>8</v>
      </c>
      <c t="s" s="68" r="D166">
        <v>123</v>
      </c>
      <c t="s" s="68" r="E166">
        <v>54</v>
      </c>
      <c t="s" s="68" r="F166">
        <v>54</v>
      </c>
      <c t="s" s="68" r="G166">
        <v>54</v>
      </c>
      <c t="str" s="39" r="H166">
        <f>HYPERLINK("http://sofifa.com/en/fifa13winter/player/147082-scott-brown","S. Brown")</f>
        <v>S. Brown</v>
      </c>
      <c s="68" r="I166">
        <v>73</v>
      </c>
      <c t="s" s="68" r="J166">
        <v>124</v>
      </c>
      <c t="s" s="68" r="K166">
        <v>139</v>
      </c>
      <c t="s" s="68" r="L166">
        <v>142</v>
      </c>
      <c s="68" r="M166">
        <v>27</v>
      </c>
      <c s="2" r="N166">
        <v>2.9</v>
      </c>
      <c s="31" r="O166">
        <v>0.01</v>
      </c>
      <c s="68" r="P166"/>
      <c t="s" s="68" r="Q166">
        <v>190</v>
      </c>
      <c s="68" r="R166">
        <f>IF((P166&gt;0),O166,0)</f>
        <v>0</v>
      </c>
      <c t="str" s="81" r="S166">
        <f>CONCATENATE(F166,E166)</f>
        <v>CelticCeltic</v>
      </c>
    </row>
    <row r="167">
      <c t="s" s="7" r="A167">
        <v>53</v>
      </c>
      <c s="7" r="B167">
        <v>348</v>
      </c>
      <c s="7" r="C167">
        <v>67</v>
      </c>
      <c t="s" s="7" r="D167">
        <v>126</v>
      </c>
      <c t="s" s="7" r="E167">
        <v>54</v>
      </c>
      <c t="s" s="7" r="F167">
        <v>54</v>
      </c>
      <c t="s" s="7" r="G167">
        <v>54</v>
      </c>
      <c t="str" s="65" r="H167">
        <f>HYPERLINK("http://sofifa.com/en/fifa13winter/player/149273-victor-wanyama","V. Wanyama")</f>
        <v>V. Wanyama</v>
      </c>
      <c s="7" r="I167">
        <v>76</v>
      </c>
      <c t="s" s="7" r="J167">
        <v>124</v>
      </c>
      <c t="s" s="7" r="K167">
        <v>134</v>
      </c>
      <c t="s" s="7" r="L167">
        <v>153</v>
      </c>
      <c s="7" r="M167">
        <v>21</v>
      </c>
      <c s="26" r="N167">
        <v>5.3</v>
      </c>
      <c s="23" r="O167">
        <v>0.013</v>
      </c>
      <c s="7" r="P167"/>
      <c s="7" r="Q167"/>
      <c s="7" r="R167">
        <f>IF((P167&gt;0),O167,0)</f>
        <v>0</v>
      </c>
      <c t="str" r="S167">
        <f>CONCATENATE(F167,E167)</f>
        <v>CelticCeltic</v>
      </c>
    </row>
    <row r="168">
      <c t="s" s="7" r="A168">
        <v>53</v>
      </c>
      <c s="7" r="B168">
        <v>349</v>
      </c>
      <c s="7" r="C168">
        <v>9</v>
      </c>
      <c t="s" s="7" r="D168">
        <v>128</v>
      </c>
      <c t="s" s="7" r="E168">
        <v>54</v>
      </c>
      <c t="s" s="7" r="F168">
        <v>54</v>
      </c>
      <c t="s" s="7" r="G168">
        <v>54</v>
      </c>
      <c t="str" s="65" r="H168">
        <f>HYPERLINK("http://sofifa.com/en/fifa13winter/player/146958-georgios-samaras","G. Samaras")</f>
        <v>G. Samaras</v>
      </c>
      <c s="7" r="I168">
        <v>73</v>
      </c>
      <c t="s" s="7" r="J168">
        <v>128</v>
      </c>
      <c t="s" s="7" r="K168">
        <v>107</v>
      </c>
      <c t="s" s="7" r="L168">
        <v>180</v>
      </c>
      <c s="7" r="M168">
        <v>27</v>
      </c>
      <c s="26" r="N168">
        <v>3</v>
      </c>
      <c s="23" r="O168">
        <v>0.01</v>
      </c>
      <c s="7" r="P168"/>
      <c s="7" r="Q168"/>
      <c s="7" r="R168">
        <f>IF((P168&gt;0),O168,0)</f>
        <v>0</v>
      </c>
      <c t="str" r="S168">
        <f>CONCATENATE(F168,E168)</f>
        <v>CelticCeltic</v>
      </c>
    </row>
    <row r="169">
      <c t="s" s="7" r="A169">
        <v>53</v>
      </c>
      <c s="7" r="B169">
        <v>350</v>
      </c>
      <c s="7" r="C169">
        <v>15</v>
      </c>
      <c t="s" s="7" r="D169">
        <v>171</v>
      </c>
      <c t="s" s="7" r="E169">
        <v>54</v>
      </c>
      <c t="s" s="7" r="F169">
        <v>54</v>
      </c>
      <c t="s" s="7" r="G169">
        <v>54</v>
      </c>
      <c t="str" s="65" r="H169">
        <f>HYPERLINK("http://sofifa.com/en/fifa13winter/player/146417-kris-commons","K. Commons")</f>
        <v>K. Commons</v>
      </c>
      <c s="7" r="I169">
        <v>74</v>
      </c>
      <c t="s" s="7" r="J169">
        <v>128</v>
      </c>
      <c t="s" s="7" r="K169">
        <v>148</v>
      </c>
      <c t="s" s="7" r="L169">
        <v>141</v>
      </c>
      <c s="7" r="M169">
        <v>29</v>
      </c>
      <c s="26" r="N169">
        <v>3.2</v>
      </c>
      <c s="23" r="O169">
        <v>0.012</v>
      </c>
      <c s="7" r="P169"/>
      <c s="7" r="Q169"/>
      <c s="7" r="R169">
        <f>IF((P169&gt;0),O169,0)</f>
        <v>0</v>
      </c>
      <c t="str" r="S169">
        <f>CONCATENATE(F169,E169)</f>
        <v>CelticCeltic</v>
      </c>
    </row>
    <row r="170">
      <c t="s" s="7" r="A170">
        <v>53</v>
      </c>
      <c s="7" r="B170">
        <v>351</v>
      </c>
      <c s="7" r="C170">
        <v>88</v>
      </c>
      <c t="s" s="7" r="D170">
        <v>129</v>
      </c>
      <c t="s" s="7" r="E170">
        <v>54</v>
      </c>
      <c t="s" s="7" r="F170">
        <v>54</v>
      </c>
      <c t="s" s="7" r="G170">
        <v>54</v>
      </c>
      <c t="str" s="65" r="H170">
        <f>HYPERLINK("http://sofifa.com/en/fifa13winter/player/148027-gary-hooper","G. Hooper")</f>
        <v>G. Hooper</v>
      </c>
      <c s="7" r="I170">
        <v>74</v>
      </c>
      <c t="s" s="7" r="J170">
        <v>129</v>
      </c>
      <c t="s" s="7" r="K170">
        <v>139</v>
      </c>
      <c t="s" s="7" r="L170">
        <v>142</v>
      </c>
      <c s="7" r="M170">
        <v>24</v>
      </c>
      <c s="26" r="N170">
        <v>4.1</v>
      </c>
      <c s="23" r="O170">
        <v>0.011</v>
      </c>
      <c s="7" r="P170"/>
      <c s="7" r="Q170"/>
      <c s="7" r="R170">
        <f>IF((P170&gt;0),O170,0)</f>
        <v>0</v>
      </c>
      <c t="str" r="S170">
        <f>CONCATENATE(F170,E170)</f>
        <v>CelticCeltic</v>
      </c>
    </row>
    <row r="171">
      <c t="s" s="7" r="A171">
        <v>53</v>
      </c>
      <c s="7" r="B171">
        <v>352</v>
      </c>
      <c s="7" r="C171">
        <v>7</v>
      </c>
      <c t="s" s="7" r="D171">
        <v>136</v>
      </c>
      <c t="s" s="7" r="E171">
        <v>54</v>
      </c>
      <c t="s" s="7" r="F171">
        <v>54</v>
      </c>
      <c t="s" s="7" r="G171">
        <v>54</v>
      </c>
      <c t="str" s="65" r="H171">
        <f>HYPERLINK("http://sofifa.com/en/fifa13winter/player/147137-nicolas-fedor-flores","Miku")</f>
        <v>Miku</v>
      </c>
      <c s="7" r="I171">
        <v>71</v>
      </c>
      <c t="s" s="7" r="J171">
        <v>129</v>
      </c>
      <c t="s" s="7" r="K171">
        <v>132</v>
      </c>
      <c t="s" s="7" r="L171">
        <v>153</v>
      </c>
      <c s="7" r="M171">
        <v>27</v>
      </c>
      <c s="26" r="N171">
        <v>2.6</v>
      </c>
      <c s="23" r="O171">
        <v>0.008</v>
      </c>
      <c s="7" r="P171"/>
      <c s="7" r="Q171"/>
      <c s="7" r="R171">
        <f>IF((P171&gt;0),O171,0)</f>
        <v>0</v>
      </c>
      <c t="str" r="S171">
        <f>CONCATENATE(F171,E171)</f>
        <v>CelticCeltic</v>
      </c>
    </row>
    <row r="172">
      <c t="s" s="7" r="A172">
        <v>53</v>
      </c>
      <c s="7" r="B172">
        <v>353</v>
      </c>
      <c s="7" r="C172">
        <v>32</v>
      </c>
      <c t="s" s="7" r="D172">
        <v>136</v>
      </c>
      <c t="s" s="7" r="E172">
        <v>54</v>
      </c>
      <c t="s" s="7" r="F172">
        <v>54</v>
      </c>
      <c t="s" s="7" r="G172">
        <v>54</v>
      </c>
      <c t="str" s="65" r="H172">
        <f>HYPERLINK("http://sofifa.com/en/fifa13winter/player/150191-tony-watt","T. Watt")</f>
        <v>T. Watt</v>
      </c>
      <c s="7" r="I172">
        <v>66</v>
      </c>
      <c t="s" s="7" r="J172">
        <v>129</v>
      </c>
      <c t="s" s="7" r="K172">
        <v>118</v>
      </c>
      <c t="s" s="7" r="L172">
        <v>137</v>
      </c>
      <c s="7" r="M172">
        <v>18</v>
      </c>
      <c s="26" r="N172">
        <v>1.6</v>
      </c>
      <c s="23" r="O172">
        <v>0.004</v>
      </c>
      <c s="7" r="P172"/>
      <c s="7" r="Q172"/>
      <c s="7" r="R172">
        <f>IF((P172&gt;0),O172,0)</f>
        <v>0</v>
      </c>
      <c t="str" r="S172">
        <f>CONCATENATE(F172,E172)</f>
        <v>CelticCeltic</v>
      </c>
    </row>
    <row r="173">
      <c t="s" s="7" r="A173">
        <v>53</v>
      </c>
      <c s="7" r="B173">
        <v>354</v>
      </c>
      <c s="7" r="C173">
        <v>18</v>
      </c>
      <c t="s" s="7" r="D173">
        <v>136</v>
      </c>
      <c t="s" s="7" r="E173">
        <v>54</v>
      </c>
      <c t="s" s="7" r="F173">
        <v>54</v>
      </c>
      <c t="s" s="7" r="G173">
        <v>54</v>
      </c>
      <c t="str" s="65" r="H173">
        <f>HYPERLINK("http://sofifa.com/en/fifa13winter/player/149813-tomas-rogic","T. Rogić")</f>
        <v>T. Rogić</v>
      </c>
      <c s="7" r="I173">
        <v>67</v>
      </c>
      <c t="s" s="7" r="J173">
        <v>162</v>
      </c>
      <c t="s" s="7" r="K173">
        <v>134</v>
      </c>
      <c t="s" s="7" r="L173">
        <v>191</v>
      </c>
      <c s="7" r="M173">
        <v>19</v>
      </c>
      <c s="26" r="N173">
        <v>1.8</v>
      </c>
      <c s="23" r="O173">
        <v>0.004</v>
      </c>
      <c s="7" r="P173"/>
      <c s="7" r="Q173"/>
      <c s="7" r="R173">
        <f>IF((P173&gt;0),O173,0)</f>
        <v>0</v>
      </c>
      <c t="str" r="S173">
        <f>CONCATENATE(F173,E173)</f>
        <v>CelticCeltic</v>
      </c>
    </row>
    <row r="174">
      <c t="s" s="7" r="A174">
        <v>53</v>
      </c>
      <c s="7" r="B174">
        <v>355</v>
      </c>
      <c s="7" r="C174">
        <v>24</v>
      </c>
      <c t="s" s="7" r="D174">
        <v>136</v>
      </c>
      <c t="s" s="7" r="E174">
        <v>54</v>
      </c>
      <c t="s" s="7" r="F174">
        <v>54</v>
      </c>
      <c t="s" s="7" r="G174">
        <v>54</v>
      </c>
      <c t="str" s="65" r="H174">
        <f>HYPERLINK("http://sofifa.com/en/fifa13winter/player/145977-lukasz-zaluska","L. Załuska")</f>
        <v>L. Załuska</v>
      </c>
      <c s="7" r="I174">
        <v>66</v>
      </c>
      <c t="s" s="7" r="J174">
        <v>106</v>
      </c>
      <c t="s" s="7" r="K174">
        <v>134</v>
      </c>
      <c t="s" s="7" r="L174">
        <v>180</v>
      </c>
      <c s="7" r="M174">
        <v>30</v>
      </c>
      <c s="26" r="N174">
        <v>0.8</v>
      </c>
      <c s="23" r="O174">
        <v>0.006</v>
      </c>
      <c s="7" r="P174"/>
      <c s="7" r="Q174"/>
      <c s="7" r="R174">
        <f>IF((P174&gt;0),O174,0)</f>
        <v>0</v>
      </c>
      <c t="str" r="S174">
        <f>CONCATENATE(F174,E174)</f>
        <v>CelticCeltic</v>
      </c>
    </row>
    <row r="175">
      <c t="s" s="7" r="A175">
        <v>53</v>
      </c>
      <c s="7" r="B175">
        <v>356</v>
      </c>
      <c s="7" r="C175">
        <v>20</v>
      </c>
      <c t="s" s="7" r="D175">
        <v>136</v>
      </c>
      <c t="s" s="7" r="E175">
        <v>54</v>
      </c>
      <c t="s" s="7" r="F175">
        <v>54</v>
      </c>
      <c t="s" s="7" r="G175">
        <v>54</v>
      </c>
      <c t="str" s="65" r="H175">
        <f>HYPERLINK("http://sofifa.com/en/fifa13winter/player/146525-paddy-mccourt","P. McCourt")</f>
        <v>P. McCourt</v>
      </c>
      <c s="7" r="I175">
        <v>65</v>
      </c>
      <c t="s" s="7" r="J175">
        <v>128</v>
      </c>
      <c t="s" s="7" r="K175">
        <v>114</v>
      </c>
      <c t="s" s="7" r="L175">
        <v>151</v>
      </c>
      <c s="7" r="M175">
        <v>28</v>
      </c>
      <c s="26" r="N175">
        <v>1</v>
      </c>
      <c s="23" r="O175">
        <v>0.005</v>
      </c>
      <c s="7" r="P175"/>
      <c s="7" r="Q175"/>
      <c s="7" r="R175">
        <f>IF((P175&gt;0),O175,0)</f>
        <v>0</v>
      </c>
      <c t="str" r="S175">
        <f>CONCATENATE(F175,E175)</f>
        <v>CelticCeltic</v>
      </c>
    </row>
    <row r="176">
      <c t="s" s="7" r="A176">
        <v>53</v>
      </c>
      <c s="7" r="B176">
        <v>357</v>
      </c>
      <c s="7" r="C176">
        <v>2</v>
      </c>
      <c t="s" s="7" r="D176">
        <v>136</v>
      </c>
      <c t="s" s="7" r="E176">
        <v>54</v>
      </c>
      <c t="s" s="7" r="F176">
        <v>54</v>
      </c>
      <c t="s" s="7" r="G176">
        <v>54</v>
      </c>
      <c t="str" s="65" r="H176">
        <f>HYPERLINK("http://sofifa.com/en/fifa13winter/player/149475-adam-matthews","A. Matthews")</f>
        <v>A. Matthews</v>
      </c>
      <c s="7" r="I176">
        <v>72</v>
      </c>
      <c t="s" s="7" r="J176">
        <v>109</v>
      </c>
      <c t="s" s="7" r="K176">
        <v>118</v>
      </c>
      <c t="s" s="7" r="L176">
        <v>142</v>
      </c>
      <c s="7" r="M176">
        <v>20</v>
      </c>
      <c s="26" r="N176">
        <v>2.7</v>
      </c>
      <c s="23" r="O176">
        <v>0.007</v>
      </c>
      <c s="7" r="P176"/>
      <c s="7" r="Q176"/>
      <c s="7" r="R176">
        <f>IF((P176&gt;0),O176,0)</f>
        <v>0</v>
      </c>
      <c t="str" r="S176">
        <f>CONCATENATE(F176,E176)</f>
        <v>CelticCeltic</v>
      </c>
    </row>
    <row r="177">
      <c t="s" s="7" r="A177">
        <v>53</v>
      </c>
      <c s="7" r="B177">
        <v>358</v>
      </c>
      <c s="7" r="C177">
        <v>33</v>
      </c>
      <c t="s" s="7" r="D177">
        <v>136</v>
      </c>
      <c t="s" s="7" r="E177">
        <v>54</v>
      </c>
      <c t="s" s="7" r="F177">
        <v>54</v>
      </c>
      <c t="s" s="7" r="G177">
        <v>54</v>
      </c>
      <c t="str" s="65" r="H177">
        <f>HYPERLINK("http://sofifa.com/en/fifa13winter/player/148124-beram-kayal","B. Kayal")</f>
        <v>B. Kayal</v>
      </c>
      <c s="7" r="I177">
        <v>70</v>
      </c>
      <c t="s" s="7" r="J177">
        <v>124</v>
      </c>
      <c t="s" s="7" r="K177">
        <v>118</v>
      </c>
      <c t="s" s="7" r="L177">
        <v>160</v>
      </c>
      <c s="7" r="M177">
        <v>24</v>
      </c>
      <c s="26" r="N177">
        <v>1.9</v>
      </c>
      <c s="23" r="O177">
        <v>0.007</v>
      </c>
      <c s="7" r="P177"/>
      <c s="7" r="Q177"/>
      <c s="7" r="R177">
        <f>IF((P177&gt;0),O177,0)</f>
        <v>0</v>
      </c>
      <c t="str" r="S177">
        <f>CONCATENATE(F177,E177)</f>
        <v>CelticCeltic</v>
      </c>
    </row>
    <row r="178">
      <c t="s" s="7" r="A178">
        <v>53</v>
      </c>
      <c s="7" r="B178">
        <v>359</v>
      </c>
      <c s="7" r="C178">
        <v>11</v>
      </c>
      <c t="s" s="7" r="D178">
        <v>136</v>
      </c>
      <c t="s" s="7" r="E178">
        <v>54</v>
      </c>
      <c t="s" s="7" r="F178">
        <v>54</v>
      </c>
      <c t="s" s="7" r="G178">
        <v>54</v>
      </c>
      <c t="str" s="65" r="H178">
        <f>HYPERLINK("http://sofifa.com/en/fifa13winter/player/147338-lassad-hassen-nouioui","Lassad")</f>
        <v>Lassad</v>
      </c>
      <c s="7" r="I178">
        <v>68</v>
      </c>
      <c t="s" s="7" r="J178">
        <v>171</v>
      </c>
      <c t="s" s="7" r="K178">
        <v>134</v>
      </c>
      <c t="s" s="7" r="L178">
        <v>161</v>
      </c>
      <c s="7" r="M178">
        <v>26</v>
      </c>
      <c s="26" r="N178">
        <v>1.8</v>
      </c>
      <c s="23" r="O178">
        <v>0.006</v>
      </c>
      <c s="7" r="P178"/>
      <c s="7" r="Q178"/>
      <c s="7" r="R178">
        <f>IF((P178&gt;0),O178,0)</f>
        <v>0</v>
      </c>
      <c t="str" r="S178">
        <f>CONCATENATE(F178,E178)</f>
        <v>CelticCeltic</v>
      </c>
    </row>
    <row r="179">
      <c t="s" s="7" r="A179">
        <v>53</v>
      </c>
      <c s="7" r="B179">
        <v>360</v>
      </c>
      <c s="7" r="C179">
        <v>16</v>
      </c>
      <c t="s" s="7" r="D179">
        <v>136</v>
      </c>
      <c t="s" s="7" r="E179">
        <v>54</v>
      </c>
      <c t="s" s="7" r="F179">
        <v>54</v>
      </c>
      <c t="s" s="7" r="G179">
        <v>54</v>
      </c>
      <c t="str" s="65" r="H179">
        <f>HYPERLINK("http://sofifa.com/en/fifa13winter/player/147657-joe-ledley","J. Ledley")</f>
        <v>J. Ledley</v>
      </c>
      <c s="7" r="I179">
        <v>74</v>
      </c>
      <c t="s" s="7" r="J179">
        <v>124</v>
      </c>
      <c t="s" s="7" r="K179">
        <v>110</v>
      </c>
      <c t="s" s="7" r="L179">
        <v>119</v>
      </c>
      <c s="7" r="M179">
        <v>25</v>
      </c>
      <c s="26" r="N179">
        <v>3.4</v>
      </c>
      <c s="23" r="O179">
        <v>0.011</v>
      </c>
      <c s="7" r="P179"/>
      <c s="7" r="Q179"/>
      <c s="7" r="R179">
        <f>IF((P179&gt;0),O179,0)</f>
        <v>0</v>
      </c>
      <c t="str" r="S179">
        <f>CONCATENATE(F179,E179)</f>
        <v>CelticCeltic</v>
      </c>
    </row>
    <row r="180">
      <c t="s" s="7" r="A180">
        <v>53</v>
      </c>
      <c s="7" r="B180">
        <v>361</v>
      </c>
      <c s="7" r="C180">
        <v>4</v>
      </c>
      <c t="s" s="7" r="D180">
        <v>136</v>
      </c>
      <c t="s" s="7" r="E180">
        <v>54</v>
      </c>
      <c t="s" s="7" r="F180">
        <v>54</v>
      </c>
      <c t="s" s="7" r="G180">
        <v>54</v>
      </c>
      <c t="str" s="65" r="H180">
        <f>HYPERLINK("http://sofifa.com/en/fifa13winter/player/148293-efe-ambrose","E. Ambrose")</f>
        <v>E. Ambrose</v>
      </c>
      <c s="7" r="I180">
        <v>68</v>
      </c>
      <c t="s" s="7" r="J180">
        <v>113</v>
      </c>
      <c t="s" s="7" r="K180">
        <v>152</v>
      </c>
      <c t="s" s="7" r="L180">
        <v>122</v>
      </c>
      <c s="7" r="M180">
        <v>23</v>
      </c>
      <c s="26" r="N180">
        <v>1.6</v>
      </c>
      <c s="23" r="O180">
        <v>0.006</v>
      </c>
      <c s="7" r="P180"/>
      <c s="7" r="Q180"/>
      <c s="7" r="R180">
        <f>IF((P180&gt;0),O180,0)</f>
        <v>0</v>
      </c>
      <c t="str" r="S180">
        <f>CONCATENATE(F180,E180)</f>
        <v>CelticCeltic</v>
      </c>
    </row>
    <row r="181">
      <c t="s" s="7" r="A181">
        <v>53</v>
      </c>
      <c s="7" r="B181">
        <v>362</v>
      </c>
      <c s="7" r="C181">
        <v>10</v>
      </c>
      <c t="s" s="7" r="D181">
        <v>136</v>
      </c>
      <c t="s" s="7" r="E181">
        <v>54</v>
      </c>
      <c t="s" s="7" r="F181">
        <v>54</v>
      </c>
      <c t="s" s="7" r="G181">
        <v>54</v>
      </c>
      <c t="str" s="65" r="H181">
        <f>HYPERLINK("http://sofifa.com/en/fifa13winter/player/148208-anthony-stokes","A. Stokes")</f>
        <v>A. Stokes</v>
      </c>
      <c s="7" r="I181">
        <v>73</v>
      </c>
      <c t="s" s="7" r="J181">
        <v>129</v>
      </c>
      <c t="s" s="7" r="K181">
        <v>114</v>
      </c>
      <c t="s" s="7" r="L181">
        <v>142</v>
      </c>
      <c s="7" r="M181">
        <v>24</v>
      </c>
      <c s="26" r="N181">
        <v>3.7</v>
      </c>
      <c s="23" r="O181">
        <v>0.01</v>
      </c>
      <c s="7" r="P181"/>
      <c s="7" r="Q181"/>
      <c s="7" r="R181">
        <f>IF((P181&gt;0),O181,0)</f>
        <v>0</v>
      </c>
      <c t="str" r="S181">
        <f>CONCATENATE(F181,E181)</f>
        <v>CelticCeltic</v>
      </c>
    </row>
    <row r="182">
      <c t="s" s="7" r="A182">
        <v>53</v>
      </c>
      <c s="7" r="B182">
        <v>363</v>
      </c>
      <c s="7" r="C182">
        <v>25</v>
      </c>
      <c t="s" s="7" r="D182">
        <v>136</v>
      </c>
      <c t="s" s="7" r="E182">
        <v>54</v>
      </c>
      <c t="s" s="7" r="F182">
        <v>54</v>
      </c>
      <c t="s" s="7" r="G182">
        <v>54</v>
      </c>
      <c t="str" s="65" r="H182">
        <f>HYPERLINK("http://sofifa.com/en/fifa13winter/player/148912-thomas-rogne","T. Rogne")</f>
        <v>T. Rogne</v>
      </c>
      <c s="7" r="I182">
        <v>68</v>
      </c>
      <c t="s" s="7" r="J182">
        <v>113</v>
      </c>
      <c t="s" s="7" r="K182">
        <v>107</v>
      </c>
      <c t="s" s="7" r="L182">
        <v>192</v>
      </c>
      <c s="7" r="M182">
        <v>22</v>
      </c>
      <c s="26" r="N182">
        <v>1.6</v>
      </c>
      <c s="23" r="O182">
        <v>0.006</v>
      </c>
      <c s="7" r="P182"/>
      <c s="7" r="Q182"/>
      <c s="7" r="R182">
        <f>IF((P182&gt;0),O182,0)</f>
        <v>0</v>
      </c>
      <c t="str" r="S182">
        <f>CONCATENATE(F182,E182)</f>
        <v>CelticCeltic</v>
      </c>
    </row>
    <row r="183">
      <c t="s" s="7" r="A183">
        <v>53</v>
      </c>
      <c s="7" r="B183">
        <v>364</v>
      </c>
      <c s="7" r="C183">
        <v>44</v>
      </c>
      <c t="s" s="7" r="D183">
        <v>147</v>
      </c>
      <c t="s" s="7" r="E183">
        <v>54</v>
      </c>
      <c t="s" s="7" r="F183">
        <v>54</v>
      </c>
      <c t="s" s="7" r="G183">
        <v>54</v>
      </c>
      <c t="str" s="65" r="H183">
        <f>HYPERLINK("http://sofifa.com/en/fifa13winter/player/150367-marcus-fraser","M. Fraser")</f>
        <v>M. Fraser</v>
      </c>
      <c s="7" r="I183">
        <v>53</v>
      </c>
      <c t="s" s="7" r="J183">
        <v>109</v>
      </c>
      <c t="s" s="7" r="K183">
        <v>118</v>
      </c>
      <c t="s" s="7" r="L183">
        <v>122</v>
      </c>
      <c s="7" r="M183">
        <v>18</v>
      </c>
      <c s="26" r="N183">
        <v>0.1</v>
      </c>
      <c s="23" r="O183">
        <v>0.002</v>
      </c>
      <c s="7" r="P183"/>
      <c s="7" r="Q183"/>
      <c s="7" r="R183">
        <f>IF((P183&gt;0),O183,0)</f>
        <v>0</v>
      </c>
      <c t="str" r="S183">
        <f>CONCATENATE(F183,E183)</f>
        <v>CelticCeltic</v>
      </c>
    </row>
    <row r="184">
      <c t="s" s="7" r="A184">
        <v>53</v>
      </c>
      <c s="7" r="B184">
        <v>365</v>
      </c>
      <c s="7" r="C184">
        <v>42</v>
      </c>
      <c t="s" s="7" r="D184">
        <v>147</v>
      </c>
      <c t="s" s="7" r="E184">
        <v>54</v>
      </c>
      <c t="s" s="7" r="F184">
        <v>54</v>
      </c>
      <c t="s" s="7" r="G184">
        <v>54</v>
      </c>
      <c t="str" s="65" r="H184">
        <f>HYPERLINK("http://sofifa.com/en/fifa13winter/player/149993-callum-mcgregor","C. Mcgregor")</f>
        <v>C. Mcgregor</v>
      </c>
      <c s="7" r="I184">
        <v>50</v>
      </c>
      <c t="s" s="7" r="J184">
        <v>124</v>
      </c>
      <c t="s" s="7" r="K184">
        <v>118</v>
      </c>
      <c t="s" s="7" r="L184">
        <v>163</v>
      </c>
      <c s="7" r="M184">
        <v>19</v>
      </c>
      <c s="26" r="N184">
        <v>0.1</v>
      </c>
      <c s="23" r="O184">
        <v>0.002</v>
      </c>
      <c s="7" r="P184"/>
      <c s="7" r="Q184"/>
      <c s="7" r="R184">
        <f>IF((P184&gt;0),O184,0)</f>
        <v>0</v>
      </c>
      <c t="str" r="S184">
        <f>CONCATENATE(F184,E184)</f>
        <v>CelticCeltic</v>
      </c>
    </row>
    <row r="185">
      <c t="s" s="7" r="A185">
        <v>53</v>
      </c>
      <c s="7" r="B185">
        <v>366</v>
      </c>
      <c s="7" r="C185">
        <v>46</v>
      </c>
      <c t="s" s="7" r="D185">
        <v>147</v>
      </c>
      <c t="s" s="7" r="E185">
        <v>54</v>
      </c>
      <c t="s" s="7" r="F185">
        <v>54</v>
      </c>
      <c t="s" s="7" r="G185">
        <v>54</v>
      </c>
      <c t="str" s="65" r="H185">
        <f>HYPERLINK("http://sofifa.com/en/fifa13winter/player/149843-dylan-mcgeouch","D. McGeouch")</f>
        <v>D. McGeouch</v>
      </c>
      <c s="7" r="I185">
        <v>63</v>
      </c>
      <c t="s" s="7" r="J185">
        <v>124</v>
      </c>
      <c t="s" s="7" r="K185">
        <v>118</v>
      </c>
      <c t="s" s="7" r="L185">
        <v>111</v>
      </c>
      <c s="7" r="M185">
        <v>19</v>
      </c>
      <c s="26" r="N185">
        <v>0.9</v>
      </c>
      <c s="23" r="O185">
        <v>0.003</v>
      </c>
      <c s="7" r="P185"/>
      <c s="7" r="Q185"/>
      <c s="7" r="R185">
        <f>IF((P185&gt;0),O185,0)</f>
        <v>0</v>
      </c>
      <c t="str" r="S185">
        <f>CONCATENATE(F185,E185)</f>
        <v>CelticCeltic</v>
      </c>
    </row>
    <row r="186">
      <c t="s" s="7" r="A186">
        <v>53</v>
      </c>
      <c s="7" r="B186">
        <v>367</v>
      </c>
      <c s="7" r="C186">
        <v>58</v>
      </c>
      <c t="s" s="7" r="D186">
        <v>147</v>
      </c>
      <c t="s" s="7" r="E186">
        <v>54</v>
      </c>
      <c t="s" s="7" r="F186">
        <v>54</v>
      </c>
      <c t="s" s="7" r="G186">
        <v>54</v>
      </c>
      <c t="str" s="65" r="H186">
        <f>HYPERLINK("http://sofifa.com/en/fifa13winter/player/149869-patrik-twardzik","P. Twardzik")</f>
        <v>P. Twardzik</v>
      </c>
      <c s="7" r="I186">
        <v>54</v>
      </c>
      <c t="s" s="7" r="J186">
        <v>128</v>
      </c>
      <c t="s" s="7" r="K186">
        <v>114</v>
      </c>
      <c t="s" s="7" r="L186">
        <v>142</v>
      </c>
      <c s="7" r="M186">
        <v>19</v>
      </c>
      <c s="26" r="N186">
        <v>0.1</v>
      </c>
      <c s="23" r="O186">
        <v>0.002</v>
      </c>
      <c s="7" r="P186"/>
      <c s="7" r="Q186"/>
      <c s="7" r="R186">
        <f>IF((P186&gt;0),O186,0)</f>
        <v>0</v>
      </c>
      <c t="str" r="S186">
        <f>CONCATENATE(F186,E186)</f>
        <v>CelticCeltic</v>
      </c>
    </row>
    <row r="187">
      <c t="s" s="7" r="A187">
        <v>53</v>
      </c>
      <c s="7" r="B187">
        <v>368</v>
      </c>
      <c s="7" r="C187">
        <v>55</v>
      </c>
      <c t="s" s="7" r="D187">
        <v>147</v>
      </c>
      <c t="s" s="7" r="E187">
        <v>54</v>
      </c>
      <c t="s" s="7" r="F187">
        <v>54</v>
      </c>
      <c t="s" s="7" r="G187">
        <v>54</v>
      </c>
      <c t="str" s="65" r="H187">
        <f>HYPERLINK("http://sofifa.com/en/fifa13winter/player/149869-filip-twardzik","F. Twardzik")</f>
        <v>F. Twardzik</v>
      </c>
      <c s="7" r="I187">
        <v>60</v>
      </c>
      <c t="s" s="7" r="J187">
        <v>124</v>
      </c>
      <c t="s" s="7" r="K187">
        <v>114</v>
      </c>
      <c t="s" s="7" r="L187">
        <v>141</v>
      </c>
      <c s="7" r="M187">
        <v>19</v>
      </c>
      <c s="26" r="N187">
        <v>0.5</v>
      </c>
      <c s="23" r="O187">
        <v>0.003</v>
      </c>
      <c s="7" r="P187"/>
      <c s="7" r="Q187"/>
      <c s="7" r="R187">
        <f>IF((P187&gt;0),O187,0)</f>
        <v>0</v>
      </c>
      <c t="str" r="S187">
        <f>CONCATENATE(F187,E187)</f>
        <v>CelticCeltic</v>
      </c>
    </row>
    <row r="188">
      <c t="s" s="7" r="A188">
        <v>53</v>
      </c>
      <c s="7" r="B188">
        <v>369</v>
      </c>
      <c s="7" r="C188">
        <v>5</v>
      </c>
      <c t="s" s="7" r="D188">
        <v>147</v>
      </c>
      <c t="s" s="7" r="E188">
        <v>54</v>
      </c>
      <c t="s" s="7" r="F188">
        <v>54</v>
      </c>
      <c t="s" s="7" r="G188">
        <v>54</v>
      </c>
      <c t="str" s="65" r="H188">
        <f>HYPERLINK("http://sofifa.com/en/fifa13winter/player/148226-rami-gershon","R. Gershon")</f>
        <v>R. Gershon</v>
      </c>
      <c s="7" r="I188">
        <v>67</v>
      </c>
      <c t="s" s="7" r="J188">
        <v>117</v>
      </c>
      <c t="s" s="7" r="K188">
        <v>134</v>
      </c>
      <c t="s" s="7" r="L188">
        <v>193</v>
      </c>
      <c s="7" r="M188">
        <v>24</v>
      </c>
      <c s="26" r="N188">
        <v>1.3</v>
      </c>
      <c s="23" r="O188">
        <v>0.006</v>
      </c>
      <c s="7" r="P188"/>
      <c s="7" r="Q188"/>
      <c s="7" r="R188">
        <f>IF((P188&gt;0),O188,0)</f>
        <v>0</v>
      </c>
      <c t="str" r="S188">
        <f>CONCATENATE(F188,E188)</f>
        <v>CelticCeltic</v>
      </c>
    </row>
    <row r="189">
      <c t="s" s="7" r="A189">
        <v>53</v>
      </c>
      <c s="7" r="B189">
        <v>370</v>
      </c>
      <c s="7" r="C189">
        <v>43</v>
      </c>
      <c t="s" s="7" r="D189">
        <v>147</v>
      </c>
      <c t="s" s="7" r="E189">
        <v>54</v>
      </c>
      <c t="s" s="7" r="F189">
        <v>54</v>
      </c>
      <c t="s" s="7" r="G189">
        <v>54</v>
      </c>
      <c t="str" s="65" r="H189">
        <f>HYPERLINK("http://sofifa.com/en/fifa13winter/player/150196-joseph-chalmers","J. Chalmers")</f>
        <v>J. Chalmers</v>
      </c>
      <c s="7" r="I189">
        <v>50</v>
      </c>
      <c t="s" s="7" r="J189">
        <v>113</v>
      </c>
      <c t="s" s="7" r="K189">
        <v>118</v>
      </c>
      <c t="s" s="7" r="L189">
        <v>146</v>
      </c>
      <c s="7" r="M189">
        <v>18</v>
      </c>
      <c s="26" r="N189">
        <v>0.1</v>
      </c>
      <c s="23" r="O189">
        <v>0.002</v>
      </c>
      <c s="7" r="P189"/>
      <c s="7" r="Q189"/>
      <c s="7" r="R189">
        <f>IF((P189&gt;0),O189,0)</f>
        <v>0</v>
      </c>
      <c t="str" r="S189">
        <f>CONCATENATE(F189,E189)</f>
        <v>CelticCeltic</v>
      </c>
    </row>
    <row r="190">
      <c t="s" s="7" r="A190">
        <v>13</v>
      </c>
      <c s="7" r="B190">
        <v>426</v>
      </c>
      <c s="7" r="C190">
        <v>1</v>
      </c>
      <c t="s" s="7" r="D190">
        <v>106</v>
      </c>
      <c t="s" s="7" r="E190">
        <v>14</v>
      </c>
      <c t="s" s="7" r="F190">
        <v>14</v>
      </c>
      <c t="s" s="7" r="G190">
        <v>14</v>
      </c>
      <c t="str" s="65" r="H190">
        <f>HYPERLINK("http://sofifa.com/en/fifa13winter/player/145068-david-forde","D. Forde")</f>
        <v>D. Forde</v>
      </c>
      <c s="7" r="I190">
        <v>68</v>
      </c>
      <c t="s" s="7" r="J190">
        <v>106</v>
      </c>
      <c t="s" s="7" r="K190">
        <v>134</v>
      </c>
      <c t="s" s="7" r="L190">
        <v>178</v>
      </c>
      <c s="7" r="M190">
        <v>32</v>
      </c>
      <c s="26" r="N190">
        <v>1</v>
      </c>
      <c s="23" r="O190">
        <v>0.007</v>
      </c>
      <c s="7" r="P190"/>
      <c s="7" r="Q190"/>
      <c s="7" r="R190">
        <f>IF((P190&gt;0),O190,0)</f>
        <v>0</v>
      </c>
      <c t="str" r="S190">
        <f>CONCATENATE(F190,E190)</f>
        <v>MillwallMillwall</v>
      </c>
    </row>
    <row r="191">
      <c t="s" s="7" r="A191">
        <v>13</v>
      </c>
      <c s="7" r="B191">
        <v>427</v>
      </c>
      <c s="7" r="C191">
        <v>2</v>
      </c>
      <c t="s" s="7" r="D191">
        <v>109</v>
      </c>
      <c t="s" s="7" r="E191">
        <v>14</v>
      </c>
      <c t="s" s="7" r="F191">
        <v>14</v>
      </c>
      <c t="s" s="7" r="G191">
        <v>14</v>
      </c>
      <c t="str" s="65" r="H191">
        <f>HYPERLINK("http://sofifa.com/en/fifa13winter/player/146045-alan-dunne","A. Dunne")</f>
        <v>A. Dunne</v>
      </c>
      <c s="7" r="I191">
        <v>63</v>
      </c>
      <c t="s" s="7" r="J191">
        <v>109</v>
      </c>
      <c t="s" s="7" r="K191">
        <v>114</v>
      </c>
      <c t="s" s="7" r="L191">
        <v>119</v>
      </c>
      <c s="7" r="M191">
        <v>30</v>
      </c>
      <c s="26" r="N191">
        <v>0.6</v>
      </c>
      <c s="23" r="O191">
        <v>0.005</v>
      </c>
      <c s="7" r="P191"/>
      <c s="7" r="Q191"/>
      <c s="7" r="R191">
        <f>IF((P191&gt;0),O191,0)</f>
        <v>0</v>
      </c>
      <c t="str" r="S191">
        <f>CONCATENATE(F191,E191)</f>
        <v>MillwallMillwall</v>
      </c>
    </row>
    <row r="192">
      <c t="s" s="7" r="A192">
        <v>13</v>
      </c>
      <c s="7" r="B192">
        <v>428</v>
      </c>
      <c s="7" r="C192">
        <v>3</v>
      </c>
      <c t="s" s="7" r="D192">
        <v>112</v>
      </c>
      <c t="s" s="7" r="E192">
        <v>14</v>
      </c>
      <c t="s" s="7" r="F192">
        <v>14</v>
      </c>
      <c t="s" s="7" r="G192">
        <v>14</v>
      </c>
      <c t="str" s="65" r="H192">
        <f>HYPERLINK("http://sofifa.com/en/fifa13winter/player/145325-danny-shittu","D. Shittu")</f>
        <v>D. Shittu</v>
      </c>
      <c s="7" r="I192">
        <v>67</v>
      </c>
      <c t="s" s="7" r="J192">
        <v>113</v>
      </c>
      <c t="s" s="7" r="K192">
        <v>144</v>
      </c>
      <c t="s" s="7" r="L192">
        <v>194</v>
      </c>
      <c s="7" r="M192">
        <v>31</v>
      </c>
      <c s="26" r="N192">
        <v>1.1</v>
      </c>
      <c s="23" r="O192">
        <v>0.006</v>
      </c>
      <c s="7" r="P192"/>
      <c s="7" r="Q192"/>
      <c s="7" r="R192">
        <f>IF((P192&gt;0),O192,0)</f>
        <v>0</v>
      </c>
      <c t="str" r="S192">
        <f>CONCATENATE(F192,E192)</f>
        <v>MillwallMillwall</v>
      </c>
    </row>
    <row r="193">
      <c t="s" s="7" r="A193">
        <v>13</v>
      </c>
      <c s="7" r="B193">
        <v>429</v>
      </c>
      <c s="7" r="C193">
        <v>16</v>
      </c>
      <c t="s" s="7" r="D193">
        <v>116</v>
      </c>
      <c t="s" s="7" r="E193">
        <v>14</v>
      </c>
      <c t="s" s="7" r="F193">
        <v>14</v>
      </c>
      <c t="s" s="7" r="G193">
        <v>14</v>
      </c>
      <c t="str" s="65" r="H193">
        <f>HYPERLINK("http://sofifa.com/en/fifa13winter/player/148692-mark-beevers","M. Beevers")</f>
        <v>M. Beevers</v>
      </c>
      <c s="7" r="I193">
        <v>65</v>
      </c>
      <c t="s" s="7" r="J193">
        <v>113</v>
      </c>
      <c t="s" s="7" r="K193">
        <v>107</v>
      </c>
      <c t="s" s="7" r="L193">
        <v>153</v>
      </c>
      <c s="7" r="M193">
        <v>22</v>
      </c>
      <c s="26" r="N193">
        <v>1</v>
      </c>
      <c s="23" r="O193">
        <v>0.004</v>
      </c>
      <c s="7" r="P193"/>
      <c s="7" r="Q193"/>
      <c s="7" r="R193">
        <f>IF((P193&gt;0),O193,0)</f>
        <v>0</v>
      </c>
      <c t="str" r="S193">
        <f>CONCATENATE(F193,E193)</f>
        <v>MillwallMillwall</v>
      </c>
    </row>
    <row r="194">
      <c t="s" s="7" r="A194">
        <v>13</v>
      </c>
      <c s="7" r="B194">
        <v>430</v>
      </c>
      <c s="7" r="C194">
        <v>12</v>
      </c>
      <c t="s" s="7" r="D194">
        <v>117</v>
      </c>
      <c t="s" s="7" r="E194">
        <v>14</v>
      </c>
      <c t="s" s="7" r="F194">
        <v>14</v>
      </c>
      <c t="s" s="7" r="G194">
        <v>14</v>
      </c>
      <c t="str" s="65" r="H194">
        <f>HYPERLINK("http://sofifa.com/en/fifa13winter/player/148530-shane-lowry","S. Lowry")</f>
        <v>S. Lowry</v>
      </c>
      <c s="7" r="I194">
        <v>64</v>
      </c>
      <c t="s" s="7" r="J194">
        <v>117</v>
      </c>
      <c t="s" s="7" r="K194">
        <v>132</v>
      </c>
      <c t="s" s="7" r="L194">
        <v>175</v>
      </c>
      <c s="7" r="M194">
        <v>23</v>
      </c>
      <c s="26" r="N194">
        <v>0.9</v>
      </c>
      <c s="23" r="O194">
        <v>0.004</v>
      </c>
      <c s="7" r="P194"/>
      <c s="7" r="Q194"/>
      <c s="7" r="R194">
        <f>IF((P194&gt;0),O194,0)</f>
        <v>0</v>
      </c>
      <c t="str" r="S194">
        <f>CONCATENATE(F194,E194)</f>
        <v>MillwallMillwall</v>
      </c>
    </row>
    <row r="195">
      <c t="s" s="7" r="A195">
        <v>13</v>
      </c>
      <c s="7" r="B195">
        <v>431</v>
      </c>
      <c s="7" r="C195">
        <v>14</v>
      </c>
      <c t="s" s="7" r="D195">
        <v>120</v>
      </c>
      <c t="s" s="7" r="E195">
        <v>14</v>
      </c>
      <c t="s" s="7" r="F195">
        <v>14</v>
      </c>
      <c t="s" s="7" r="G195">
        <v>14</v>
      </c>
      <c t="str" s="65" r="H195">
        <f>HYPERLINK("http://sofifa.com/en/fifa13winter/player/148528-james-henry","J. Henry")</f>
        <v>J. Henry</v>
      </c>
      <c s="7" r="I195">
        <v>68</v>
      </c>
      <c t="s" s="7" r="J195">
        <v>120</v>
      </c>
      <c t="s" s="7" r="K195">
        <v>143</v>
      </c>
      <c t="s" s="7" r="L195">
        <v>138</v>
      </c>
      <c s="7" r="M195">
        <v>23</v>
      </c>
      <c s="26" r="N195">
        <v>1.7</v>
      </c>
      <c s="23" r="O195">
        <v>0.006</v>
      </c>
      <c s="7" r="P195"/>
      <c s="7" r="Q195"/>
      <c s="7" r="R195">
        <f>IF((P195&gt;0),O195,0)</f>
        <v>0</v>
      </c>
      <c t="str" r="S195">
        <f>CONCATENATE(F195,E195)</f>
        <v>MillwallMillwall</v>
      </c>
    </row>
    <row r="196">
      <c t="s" s="7" r="A196">
        <v>13</v>
      </c>
      <c s="7" r="B196">
        <v>432</v>
      </c>
      <c s="7" r="C196">
        <v>4</v>
      </c>
      <c t="s" s="7" r="D196">
        <v>123</v>
      </c>
      <c t="s" s="7" r="E196">
        <v>14</v>
      </c>
      <c t="s" s="7" r="F196">
        <v>14</v>
      </c>
      <c t="s" s="7" r="G196">
        <v>14</v>
      </c>
      <c t="str" s="65" r="H196">
        <f>HYPERLINK("http://sofifa.com/en/fifa13winter/player/148677-josh-wright","J. Wright")</f>
        <v>J. Wright</v>
      </c>
      <c s="7" r="I196">
        <v>66</v>
      </c>
      <c t="s" s="7" r="J196">
        <v>124</v>
      </c>
      <c t="s" s="7" r="K196">
        <v>132</v>
      </c>
      <c t="s" s="7" r="L196">
        <v>119</v>
      </c>
      <c s="7" r="M196">
        <v>22</v>
      </c>
      <c s="26" r="N196">
        <v>1.2</v>
      </c>
      <c s="23" r="O196">
        <v>0.005</v>
      </c>
      <c s="7" r="P196"/>
      <c s="7" r="Q196"/>
      <c s="7" r="R196">
        <f>IF((P196&gt;0),O196,0)</f>
        <v>0</v>
      </c>
      <c t="str" r="S196">
        <f>CONCATENATE(F196,E196)</f>
        <v>MillwallMillwall</v>
      </c>
    </row>
    <row r="197">
      <c t="s" s="7" r="A197">
        <v>13</v>
      </c>
      <c s="7" r="B197">
        <v>433</v>
      </c>
      <c s="7" r="C197">
        <v>6</v>
      </c>
      <c t="s" s="7" r="D197">
        <v>124</v>
      </c>
      <c t="s" s="7" r="E197">
        <v>14</v>
      </c>
      <c t="s" s="7" r="F197">
        <v>14</v>
      </c>
      <c t="s" s="7" r="G197">
        <v>14</v>
      </c>
      <c t="str" s="65" r="H197">
        <f>HYPERLINK("http://sofifa.com/en/fifa13winter/player/148238-liam-trotter","L. Trotter")</f>
        <v>L. Trotter</v>
      </c>
      <c s="7" r="I197">
        <v>70</v>
      </c>
      <c t="s" s="7" r="J197">
        <v>124</v>
      </c>
      <c t="s" s="7" r="K197">
        <v>134</v>
      </c>
      <c t="s" s="7" r="L197">
        <v>138</v>
      </c>
      <c s="7" r="M197">
        <v>24</v>
      </c>
      <c s="26" r="N197">
        <v>1.9</v>
      </c>
      <c s="23" r="O197">
        <v>0.007</v>
      </c>
      <c s="7" r="P197"/>
      <c s="7" r="Q197"/>
      <c s="7" r="R197">
        <f>IF((P197&gt;0),O197,0)</f>
        <v>0</v>
      </c>
      <c t="str" r="S197">
        <f>CONCATENATE(F197,E197)</f>
        <v>MillwallMillwall</v>
      </c>
    </row>
    <row r="198">
      <c t="s" s="7" r="A198">
        <v>13</v>
      </c>
      <c s="7" r="B198">
        <v>434</v>
      </c>
      <c s="7" r="C198">
        <v>26</v>
      </c>
      <c t="s" s="7" r="D198">
        <v>126</v>
      </c>
      <c t="s" s="7" r="E198">
        <v>14</v>
      </c>
      <c t="s" s="7" r="F198">
        <v>14</v>
      </c>
      <c t="s" s="7" r="G198">
        <v>14</v>
      </c>
      <c t="str" s="65" r="H198">
        <f>HYPERLINK("http://sofifa.com/en/fifa13winter/player/146735-nadjim-abdou","N. Abdou")</f>
        <v>N. Abdou</v>
      </c>
      <c s="7" r="I198">
        <v>66</v>
      </c>
      <c t="s" s="7" r="J198">
        <v>154</v>
      </c>
      <c t="s" s="7" r="K198">
        <v>139</v>
      </c>
      <c t="s" s="7" r="L198">
        <v>111</v>
      </c>
      <c s="7" r="M198">
        <v>28</v>
      </c>
      <c s="26" r="N198">
        <v>1.1</v>
      </c>
      <c s="23" r="O198">
        <v>0.006</v>
      </c>
      <c s="7" r="P198"/>
      <c s="7" r="Q198"/>
      <c s="7" r="R198">
        <f>IF((P198&gt;0),O198,0)</f>
        <v>0</v>
      </c>
      <c t="str" r="S198">
        <f>CONCATENATE(F198,E198)</f>
        <v>MillwallMillwall</v>
      </c>
    </row>
    <row r="199">
      <c t="s" s="7" r="A199">
        <v>13</v>
      </c>
      <c s="7" r="B199">
        <v>435</v>
      </c>
      <c s="7" r="C199">
        <v>15</v>
      </c>
      <c t="s" s="7" r="D199">
        <v>128</v>
      </c>
      <c t="s" s="7" r="E199">
        <v>14</v>
      </c>
      <c t="s" s="7" r="F199">
        <v>14</v>
      </c>
      <c t="s" s="7" r="G199">
        <v>14</v>
      </c>
      <c t="str" s="65" r="H199">
        <f>HYPERLINK("http://sofifa.com/en/fifa13winter/player/147389-liam-feeney","L. Feeney")</f>
        <v>L. Feeney</v>
      </c>
      <c s="7" r="I199">
        <v>66</v>
      </c>
      <c t="s" s="7" r="J199">
        <v>120</v>
      </c>
      <c t="s" s="7" r="K199">
        <v>110</v>
      </c>
      <c t="s" s="7" r="L199">
        <v>137</v>
      </c>
      <c s="7" r="M199">
        <v>26</v>
      </c>
      <c s="26" r="N199">
        <v>1.2</v>
      </c>
      <c s="23" r="O199">
        <v>0.005</v>
      </c>
      <c s="7" r="P199"/>
      <c s="7" r="Q199"/>
      <c s="7" r="R199">
        <f>IF((P199&gt;0),O199,0)</f>
        <v>0</v>
      </c>
      <c t="str" r="S199">
        <f>CONCATENATE(F199,E199)</f>
        <v>MillwallMillwall</v>
      </c>
    </row>
    <row r="200">
      <c t="s" s="7" r="A200">
        <v>13</v>
      </c>
      <c s="7" r="B200">
        <v>436</v>
      </c>
      <c s="7" r="C200">
        <v>20</v>
      </c>
      <c t="s" s="7" r="D200">
        <v>129</v>
      </c>
      <c t="s" s="7" r="E200">
        <v>14</v>
      </c>
      <c t="s" s="7" r="F200">
        <v>14</v>
      </c>
      <c t="s" s="7" r="G200">
        <v>14</v>
      </c>
      <c t="str" s="65" r="H200">
        <f>HYPERLINK("http://sofifa.com/en/fifa13winter/player/147407-andy-keogh","A. Keogh")</f>
        <v>A. Keogh</v>
      </c>
      <c s="7" r="I200">
        <v>69</v>
      </c>
      <c t="s" s="7" r="J200">
        <v>129</v>
      </c>
      <c t="s" s="7" r="K200">
        <v>110</v>
      </c>
      <c t="s" s="7" r="L200">
        <v>119</v>
      </c>
      <c s="7" r="M200">
        <v>26</v>
      </c>
      <c s="26" r="N200">
        <v>2</v>
      </c>
      <c s="23" r="O200">
        <v>0.007</v>
      </c>
      <c s="7" r="P200"/>
      <c s="7" r="Q200"/>
      <c s="7" r="R200">
        <f>IF((P200&gt;0),O200,0)</f>
        <v>0</v>
      </c>
      <c t="str" r="S200">
        <f>CONCATENATE(F200,E200)</f>
        <v>MillwallMillwall</v>
      </c>
    </row>
    <row r="201">
      <c t="s" s="7" r="A201">
        <v>13</v>
      </c>
      <c s="7" r="B201">
        <v>437</v>
      </c>
      <c s="7" r="C201">
        <v>18</v>
      </c>
      <c t="s" s="7" r="D201">
        <v>136</v>
      </c>
      <c t="s" s="7" r="E201">
        <v>14</v>
      </c>
      <c t="s" s="7" r="F201">
        <v>14</v>
      </c>
      <c t="s" s="7" r="G201">
        <v>14</v>
      </c>
      <c t="str" s="65" r="H201">
        <f>HYPERLINK("http://sofifa.com/en/fifa13winter/player/147192-martyn-woolford","M. Woolford")</f>
        <v>M. Woolford</v>
      </c>
      <c s="7" r="I201">
        <v>67</v>
      </c>
      <c t="s" s="7" r="J201">
        <v>128</v>
      </c>
      <c t="s" s="7" r="K201">
        <v>110</v>
      </c>
      <c t="s" s="7" r="L201">
        <v>160</v>
      </c>
      <c s="7" r="M201">
        <v>26</v>
      </c>
      <c s="26" r="N201">
        <v>1.4</v>
      </c>
      <c s="23" r="O201">
        <v>0.006</v>
      </c>
      <c s="7" r="P201"/>
      <c s="7" r="Q201"/>
      <c s="7" r="R201">
        <f>IF((P201&gt;0),O201,0)</f>
        <v>0</v>
      </c>
      <c t="str" r="S201">
        <f>CONCATENATE(F201,E201)</f>
        <v>MillwallMillwall</v>
      </c>
    </row>
    <row r="202">
      <c t="s" s="7" r="A202">
        <v>13</v>
      </c>
      <c s="7" r="B202">
        <v>438</v>
      </c>
      <c s="7" r="C202">
        <v>28</v>
      </c>
      <c t="s" s="7" r="D202">
        <v>136</v>
      </c>
      <c t="s" s="7" r="E202">
        <v>14</v>
      </c>
      <c t="s" s="7" r="F202">
        <v>14</v>
      </c>
      <c t="s" s="7" r="G202">
        <v>14</v>
      </c>
      <c t="str" s="65" r="H202">
        <f>HYPERLINK("http://sofifa.com/en/fifa13winter/player/149181-scott-malone","S. Malone")</f>
        <v>S. Malone</v>
      </c>
      <c s="7" r="I202">
        <v>63</v>
      </c>
      <c t="s" s="7" r="J202">
        <v>117</v>
      </c>
      <c t="s" s="7" r="K202">
        <v>169</v>
      </c>
      <c t="s" s="7" r="L202">
        <v>158</v>
      </c>
      <c s="7" r="M202">
        <v>21</v>
      </c>
      <c s="26" r="N202">
        <v>0.8</v>
      </c>
      <c s="23" r="O202">
        <v>0.004</v>
      </c>
      <c s="7" r="P202"/>
      <c s="7" r="Q202"/>
      <c s="7" r="R202">
        <f>IF((P202&gt;0),O202,0)</f>
        <v>0</v>
      </c>
      <c t="str" r="S202">
        <f>CONCATENATE(F202,E202)</f>
        <v>MillwallMillwall</v>
      </c>
    </row>
    <row r="203">
      <c t="s" s="7" r="A203">
        <v>13</v>
      </c>
      <c s="7" r="B203">
        <v>439</v>
      </c>
      <c s="7" r="C203">
        <v>9</v>
      </c>
      <c t="s" s="7" r="D203">
        <v>136</v>
      </c>
      <c t="s" s="7" r="E203">
        <v>14</v>
      </c>
      <c t="s" s="7" r="F203">
        <v>14</v>
      </c>
      <c t="s" s="7" r="G203">
        <v>14</v>
      </c>
      <c t="str" s="65" r="H203">
        <f>HYPERLINK("http://sofifa.com/en/fifa13winter/player/149599-john-marquis","J. Marquis")</f>
        <v>J. Marquis</v>
      </c>
      <c s="7" r="I203">
        <v>63</v>
      </c>
      <c t="s" s="7" r="J203">
        <v>129</v>
      </c>
      <c t="s" s="7" r="K203">
        <v>132</v>
      </c>
      <c t="s" s="7" r="L203">
        <v>119</v>
      </c>
      <c s="7" r="M203">
        <v>20</v>
      </c>
      <c s="26" r="N203">
        <v>1</v>
      </c>
      <c s="23" r="O203">
        <v>0.003</v>
      </c>
      <c s="7" r="P203"/>
      <c s="7" r="Q203"/>
      <c s="7" r="R203">
        <f>IF((P203&gt;0),O203,0)</f>
        <v>0</v>
      </c>
      <c t="str" r="S203">
        <f>CONCATENATE(F203,E203)</f>
        <v>MillwallMillwall</v>
      </c>
    </row>
    <row r="204">
      <c t="s" s="7" r="A204">
        <v>13</v>
      </c>
      <c s="7" r="B204">
        <v>440</v>
      </c>
      <c s="7" r="C204">
        <v>11</v>
      </c>
      <c t="s" s="7" r="D204">
        <v>136</v>
      </c>
      <c t="s" s="7" r="E204">
        <v>14</v>
      </c>
      <c t="s" s="7" r="F204">
        <v>14</v>
      </c>
      <c t="s" s="7" r="G204">
        <v>14</v>
      </c>
      <c t="str" s="65" r="H204">
        <f>HYPERLINK("http://sofifa.com/en/fifa13winter/player/147107-shaun-batt","S. Batt")</f>
        <v>S. Batt</v>
      </c>
      <c s="7" r="I204">
        <v>63</v>
      </c>
      <c t="s" s="7" r="J204">
        <v>129</v>
      </c>
      <c t="s" s="7" r="K204">
        <v>134</v>
      </c>
      <c t="s" s="7" r="L204">
        <v>153</v>
      </c>
      <c s="7" r="M204">
        <v>27</v>
      </c>
      <c s="26" r="N204">
        <v>0.9</v>
      </c>
      <c s="23" r="O204">
        <v>0.004</v>
      </c>
      <c s="7" r="P204"/>
      <c s="7" r="Q204"/>
      <c s="7" r="R204">
        <f>IF((P204&gt;0),O204,0)</f>
        <v>0</v>
      </c>
      <c t="str" r="S204">
        <f>CONCATENATE(F204,E204)</f>
        <v>MillwallMillwall</v>
      </c>
    </row>
    <row r="205">
      <c t="s" s="7" r="A205">
        <v>13</v>
      </c>
      <c s="7" r="B205">
        <v>441</v>
      </c>
      <c s="7" r="C205">
        <v>33</v>
      </c>
      <c t="s" s="7" r="D205">
        <v>136</v>
      </c>
      <c t="s" s="7" r="E205">
        <v>14</v>
      </c>
      <c t="s" s="7" r="F205">
        <v>14</v>
      </c>
      <c t="s" s="7" r="G205">
        <v>14</v>
      </c>
      <c t="str" s="65" r="H205">
        <f>HYPERLINK("http://sofifa.com/en/fifa13winter/player/142039-maik-taylor","M. Taylor")</f>
        <v>M. Taylor</v>
      </c>
      <c s="7" r="I205">
        <v>66</v>
      </c>
      <c t="s" s="7" r="J205">
        <v>106</v>
      </c>
      <c t="s" s="7" r="K205">
        <v>107</v>
      </c>
      <c t="s" s="7" r="L205">
        <v>178</v>
      </c>
      <c s="7" r="M205">
        <v>40</v>
      </c>
      <c s="26" r="N205">
        <v>0.4</v>
      </c>
      <c s="23" r="O205">
        <v>0.007</v>
      </c>
      <c s="7" r="P205"/>
      <c s="7" r="Q205"/>
      <c s="7" r="R205">
        <f>IF((P205&gt;0),O205,0)</f>
        <v>0</v>
      </c>
      <c t="str" r="S205">
        <f>CONCATENATE(F205,E205)</f>
        <v>MillwallMillwall</v>
      </c>
    </row>
    <row r="206">
      <c t="s" s="7" r="A206">
        <v>13</v>
      </c>
      <c s="7" r="B206">
        <v>442</v>
      </c>
      <c s="7" r="C206">
        <v>17</v>
      </c>
      <c t="s" s="7" r="D206">
        <v>136</v>
      </c>
      <c t="s" s="7" r="E206">
        <v>14</v>
      </c>
      <c t="s" s="7" r="F206">
        <v>14</v>
      </c>
      <c t="s" s="7" r="G206">
        <v>14</v>
      </c>
      <c t="str" s="65" r="H206">
        <f>HYPERLINK("http://sofifa.com/en/fifa13winter/player/146323-tamika-mkandawire","T. Mkandawire")</f>
        <v>T. Mkandawire</v>
      </c>
      <c s="7" r="I206">
        <v>64</v>
      </c>
      <c t="s" s="7" r="J206">
        <v>154</v>
      </c>
      <c t="s" s="7" r="K206">
        <v>110</v>
      </c>
      <c t="s" s="7" r="L206">
        <v>138</v>
      </c>
      <c s="7" r="M206">
        <v>29</v>
      </c>
      <c s="26" r="N206">
        <v>0.7</v>
      </c>
      <c s="23" r="O206">
        <v>0.005</v>
      </c>
      <c s="7" r="P206"/>
      <c s="7" r="Q206"/>
      <c s="7" r="R206">
        <f>IF((P206&gt;0),O206,0)</f>
        <v>0</v>
      </c>
      <c t="str" r="S206">
        <f>CONCATENATE(F206,E206)</f>
        <v>MillwallMillwall</v>
      </c>
    </row>
    <row r="207">
      <c t="s" s="7" r="A207">
        <v>13</v>
      </c>
      <c s="7" r="B207">
        <v>443</v>
      </c>
      <c s="7" r="C207">
        <v>21</v>
      </c>
      <c t="s" s="7" r="D207">
        <v>136</v>
      </c>
      <c t="s" s="7" r="E207">
        <v>14</v>
      </c>
      <c t="s" s="7" r="F207">
        <v>14</v>
      </c>
      <c t="s" s="7" r="G207">
        <v>14</v>
      </c>
      <c t="str" s="65" r="H207">
        <f>HYPERLINK("http://sofifa.com/en/fifa13winter/player/146462-jack-smith","J. Smith")</f>
        <v>J. Smith</v>
      </c>
      <c s="7" r="I207">
        <v>62</v>
      </c>
      <c t="s" s="7" r="J207">
        <v>109</v>
      </c>
      <c t="s" s="7" r="K207">
        <v>114</v>
      </c>
      <c t="s" s="7" r="L207">
        <v>119</v>
      </c>
      <c s="7" r="M207">
        <v>28</v>
      </c>
      <c s="26" r="N207">
        <v>0.6</v>
      </c>
      <c s="23" r="O207">
        <v>0.004</v>
      </c>
      <c s="7" r="P207"/>
      <c s="7" r="Q207"/>
      <c s="7" r="R207">
        <f>IF((P207&gt;0),O207,0)</f>
        <v>0</v>
      </c>
      <c t="str" r="S207">
        <f>CONCATENATE(F207,E207)</f>
        <v>MillwallMillwall</v>
      </c>
    </row>
    <row r="208">
      <c t="s" s="7" r="A208">
        <v>13</v>
      </c>
      <c s="7" r="B208">
        <v>444</v>
      </c>
      <c s="7" r="C208">
        <v>5</v>
      </c>
      <c t="s" s="7" r="D208">
        <v>136</v>
      </c>
      <c t="s" s="7" r="E208">
        <v>14</v>
      </c>
      <c t="s" s="7" r="F208">
        <v>14</v>
      </c>
      <c t="s" s="7" r="G208">
        <v>14</v>
      </c>
      <c t="str" s="65" r="H208">
        <f>HYPERLINK("http://sofifa.com/en/fifa13winter/player/145817-paul-robinson","P. Robinson")</f>
        <v>P. Robinson</v>
      </c>
      <c s="7" r="I208">
        <v>67</v>
      </c>
      <c t="s" s="7" r="J208">
        <v>113</v>
      </c>
      <c t="s" s="7" r="K208">
        <v>134</v>
      </c>
      <c t="s" s="7" r="L208">
        <v>183</v>
      </c>
      <c s="7" r="M208">
        <v>30</v>
      </c>
      <c s="26" r="N208">
        <v>1.1</v>
      </c>
      <c s="23" r="O208">
        <v>0.006</v>
      </c>
      <c s="7" r="P208"/>
      <c s="7" r="Q208"/>
      <c s="7" r="R208">
        <f>IF((P208&gt;0),O208,0)</f>
        <v>0</v>
      </c>
      <c t="str" r="S208">
        <f>CONCATENATE(F208,E208)</f>
        <v>MillwallMillwall</v>
      </c>
    </row>
    <row r="209">
      <c t="s" s="7" r="A209">
        <v>13</v>
      </c>
      <c s="7" r="B209">
        <v>445</v>
      </c>
      <c s="7" r="C209">
        <v>8</v>
      </c>
      <c t="s" s="7" r="D209">
        <v>136</v>
      </c>
      <c t="s" s="7" r="E209">
        <v>14</v>
      </c>
      <c t="s" s="7" r="F209">
        <v>14</v>
      </c>
      <c t="s" s="7" r="G209">
        <v>14</v>
      </c>
      <c t="str" s="65" r="H209">
        <f>HYPERLINK("http://sofifa.com/en/fifa13winter/player/146662-therry-racon","T. Racon")</f>
        <v>T. Racon</v>
      </c>
      <c s="7" r="I209">
        <v>61</v>
      </c>
      <c t="s" s="7" r="J209">
        <v>124</v>
      </c>
      <c t="s" s="7" r="K209">
        <v>118</v>
      </c>
      <c t="s" s="7" r="L209">
        <v>149</v>
      </c>
      <c s="7" r="M209">
        <v>28</v>
      </c>
      <c s="26" r="N209">
        <v>0.5</v>
      </c>
      <c s="23" r="O209">
        <v>0.004</v>
      </c>
      <c s="7" r="P209"/>
      <c s="7" r="Q209"/>
      <c s="7" r="R209">
        <f>IF((P209&gt;0),O209,0)</f>
        <v>0</v>
      </c>
      <c t="str" r="S209">
        <f>CONCATENATE(F209,E209)</f>
        <v>MillwallMillwall</v>
      </c>
    </row>
    <row r="210">
      <c t="s" s="7" r="A210">
        <v>13</v>
      </c>
      <c s="7" r="B210">
        <v>446</v>
      </c>
      <c s="7" r="C210">
        <v>27</v>
      </c>
      <c t="s" s="7" r="D210">
        <v>136</v>
      </c>
      <c t="s" s="7" r="E210">
        <v>14</v>
      </c>
      <c t="s" s="7" r="F210">
        <v>14</v>
      </c>
      <c t="s" s="7" r="G210">
        <v>14</v>
      </c>
      <c t="str" s="65" r="H210">
        <f>HYPERLINK("http://sofifa.com/en/fifa13winter/player/148080-karleigh-osborne","K. Osborne")</f>
        <v>K. Osborne</v>
      </c>
      <c s="7" r="I210">
        <v>64</v>
      </c>
      <c t="s" s="7" r="J210">
        <v>113</v>
      </c>
      <c t="s" s="7" r="K210">
        <v>134</v>
      </c>
      <c t="s" s="7" r="L210">
        <v>161</v>
      </c>
      <c s="7" r="M210">
        <v>24</v>
      </c>
      <c s="26" r="N210">
        <v>0.9</v>
      </c>
      <c s="23" r="O210">
        <v>0.004</v>
      </c>
      <c s="7" r="P210"/>
      <c s="7" r="Q210"/>
      <c s="7" r="R210">
        <f>IF((P210&gt;0),O210,0)</f>
        <v>0</v>
      </c>
      <c t="str" r="S210">
        <f>CONCATENATE(F210,E210)</f>
        <v>MillwallMillwall</v>
      </c>
    </row>
    <row r="211">
      <c t="s" s="7" r="A211">
        <v>13</v>
      </c>
      <c s="7" r="B211">
        <v>447</v>
      </c>
      <c s="7" r="C211">
        <v>22</v>
      </c>
      <c t="s" s="7" r="D211">
        <v>136</v>
      </c>
      <c t="s" s="7" r="E211">
        <v>14</v>
      </c>
      <c t="s" s="7" r="F211">
        <v>14</v>
      </c>
      <c t="s" s="7" r="G211">
        <v>14</v>
      </c>
      <c t="str" s="65" r="H211">
        <f>HYPERLINK("http://sofifa.com/en/fifa13winter/player/147859-dany-nguessan","D. N'Guessan")</f>
        <v>D. N'Guessan</v>
      </c>
      <c s="7" r="I211">
        <v>64</v>
      </c>
      <c t="s" s="7" r="J211">
        <v>129</v>
      </c>
      <c t="s" s="7" r="K211">
        <v>132</v>
      </c>
      <c t="s" s="7" r="L211">
        <v>108</v>
      </c>
      <c s="7" r="M211">
        <v>25</v>
      </c>
      <c s="26" r="N211">
        <v>1</v>
      </c>
      <c s="23" r="O211">
        <v>0.004</v>
      </c>
      <c s="7" r="P211"/>
      <c s="7" r="Q211"/>
      <c s="7" r="R211">
        <f>IF((P211&gt;0),O211,0)</f>
        <v>0</v>
      </c>
      <c t="str" r="S211">
        <f>CONCATENATE(F211,E211)</f>
        <v>MillwallMillwall</v>
      </c>
    </row>
    <row r="212">
      <c t="s" s="7" r="A212">
        <v>13</v>
      </c>
      <c s="7" r="B212">
        <v>448</v>
      </c>
      <c s="7" r="C212">
        <v>19</v>
      </c>
      <c t="s" s="7" r="D212">
        <v>136</v>
      </c>
      <c t="s" s="7" r="E212">
        <v>14</v>
      </c>
      <c t="s" s="7" r="F212">
        <v>14</v>
      </c>
      <c t="s" s="7" r="G212">
        <v>14</v>
      </c>
      <c t="str" s="65" r="H212">
        <f>HYPERLINK("http://sofifa.com/en/fifa13winter/player/147625-chris-taylor","C. Taylor")</f>
        <v>C. Taylor</v>
      </c>
      <c s="7" r="I212">
        <v>66</v>
      </c>
      <c t="s" s="7" r="J212">
        <v>128</v>
      </c>
      <c t="s" s="7" r="K212">
        <v>110</v>
      </c>
      <c t="s" s="7" r="L212">
        <v>119</v>
      </c>
      <c s="7" r="M212">
        <v>25</v>
      </c>
      <c s="26" r="N212">
        <v>1.2</v>
      </c>
      <c s="23" r="O212">
        <v>0.005</v>
      </c>
      <c s="7" r="P212"/>
      <c s="7" r="Q212"/>
      <c s="7" r="R212">
        <f>IF((P212&gt;0),O212,0)</f>
        <v>0</v>
      </c>
      <c t="str" r="S212">
        <f>CONCATENATE(F212,E212)</f>
        <v>MillwallMillwall</v>
      </c>
    </row>
    <row r="213">
      <c t="s" s="7" r="A213">
        <v>13</v>
      </c>
      <c s="7" r="B213">
        <v>449</v>
      </c>
      <c s="7" r="C213">
        <v>45</v>
      </c>
      <c t="s" s="7" r="D213">
        <v>147</v>
      </c>
      <c t="s" s="7" r="E213">
        <v>14</v>
      </c>
      <c t="s" s="7" r="F213">
        <v>14</v>
      </c>
      <c t="s" s="7" r="G213">
        <v>14</v>
      </c>
      <c t="str" s="65" r="H213">
        <f>HYPERLINK("http://sofifa.com/en/fifa13winter/player/149847-tom-bender","T. Bender")</f>
        <v>T. Bender</v>
      </c>
      <c s="7" r="I213">
        <v>55</v>
      </c>
      <c t="s" s="7" r="J213">
        <v>113</v>
      </c>
      <c t="s" s="7" r="K213">
        <v>144</v>
      </c>
      <c t="s" s="7" r="L213">
        <v>137</v>
      </c>
      <c s="7" r="M213">
        <v>19</v>
      </c>
      <c s="26" r="N213">
        <v>0.1</v>
      </c>
      <c s="23" r="O213">
        <v>0.002</v>
      </c>
      <c s="7" r="P213"/>
      <c s="7" r="Q213"/>
      <c s="7" r="R213">
        <f>IF((P213&gt;0),O213,0)</f>
        <v>0</v>
      </c>
      <c t="str" r="S213">
        <f>CONCATENATE(F213,E213)</f>
        <v>MillwallMillwall</v>
      </c>
    </row>
    <row r="214">
      <c t="s" s="7" r="A214">
        <v>13</v>
      </c>
      <c s="7" r="B214">
        <v>450</v>
      </c>
      <c s="7" r="C214">
        <v>30</v>
      </c>
      <c t="s" s="7" r="D214">
        <v>147</v>
      </c>
      <c t="s" s="7" r="E214">
        <v>14</v>
      </c>
      <c t="s" s="7" r="F214">
        <v>14</v>
      </c>
      <c t="s" s="7" r="G214">
        <v>14</v>
      </c>
      <c t="str" s="65" r="H214">
        <f>HYPERLINK("http://sofifa.com/en/fifa13winter/player/150105-aiden-obrien","A. O'Brien")</f>
        <v>A. O'Brien</v>
      </c>
      <c s="7" r="I214">
        <v>54</v>
      </c>
      <c t="s" s="7" r="J214">
        <v>129</v>
      </c>
      <c t="s" s="7" r="K214">
        <v>110</v>
      </c>
      <c t="s" s="7" r="L214">
        <v>146</v>
      </c>
      <c s="7" r="M214">
        <v>18</v>
      </c>
      <c s="26" r="N214">
        <v>0.1</v>
      </c>
      <c s="23" r="O214">
        <v>0.002</v>
      </c>
      <c s="7" r="P214"/>
      <c s="7" r="Q214"/>
      <c s="7" r="R214">
        <f>IF((P214&gt;0),O214,0)</f>
        <v>0</v>
      </c>
      <c t="str" r="S214">
        <f>CONCATENATE(F214,E214)</f>
        <v>MillwallMillwall</v>
      </c>
    </row>
    <row r="215">
      <c t="s" s="7" r="A215">
        <v>13</v>
      </c>
      <c s="7" r="B215">
        <v>451</v>
      </c>
      <c s="7" r="C215">
        <v>41</v>
      </c>
      <c t="s" s="7" r="D215">
        <v>147</v>
      </c>
      <c t="s" s="7" r="E215">
        <v>14</v>
      </c>
      <c t="s" s="7" r="F215">
        <v>14</v>
      </c>
      <c t="s" s="7" r="G215">
        <v>14</v>
      </c>
      <c t="str" s="65" r="H215">
        <f>HYPERLINK("http://sofifa.com/en/fifa13winter/player/150208-jack-sammoutis","J. Sammoutis")</f>
        <v>J. Sammoutis</v>
      </c>
      <c s="7" r="I215">
        <v>52</v>
      </c>
      <c t="s" s="7" r="J215">
        <v>124</v>
      </c>
      <c t="s" s="7" r="K215">
        <v>114</v>
      </c>
      <c t="s" s="7" r="L215">
        <v>146</v>
      </c>
      <c s="7" r="M215">
        <v>18</v>
      </c>
      <c s="26" r="N215">
        <v>0.1</v>
      </c>
      <c s="23" r="O215">
        <v>0.002</v>
      </c>
      <c s="7" r="P215"/>
      <c s="7" r="Q215"/>
      <c s="7" r="R215">
        <f>IF((P215&gt;0),O215,0)</f>
        <v>0</v>
      </c>
      <c t="str" r="S215">
        <f>CONCATENATE(F215,E215)</f>
        <v>MillwallMillwall</v>
      </c>
    </row>
    <row r="216">
      <c t="s" s="7" r="A216">
        <v>13</v>
      </c>
      <c s="7" r="B216">
        <v>452</v>
      </c>
      <c s="7" r="C216">
        <v>40</v>
      </c>
      <c t="s" s="7" r="D216">
        <v>147</v>
      </c>
      <c t="s" s="7" r="E216">
        <v>14</v>
      </c>
      <c t="s" s="7" r="F216">
        <v>14</v>
      </c>
      <c t="s" s="7" r="G216">
        <v>14</v>
      </c>
      <c t="str" s="65" r="H216">
        <f>HYPERLINK("http://sofifa.com/en/fifa13winter/player/150156-dylan-richards","D. Richards")</f>
        <v>D. Richards</v>
      </c>
      <c s="7" r="I216">
        <v>52</v>
      </c>
      <c t="s" s="7" r="J216">
        <v>117</v>
      </c>
      <c t="s" s="7" r="K216">
        <v>172</v>
      </c>
      <c t="s" s="7" r="L216">
        <v>142</v>
      </c>
      <c s="7" r="M216">
        <v>18</v>
      </c>
      <c s="26" r="N216">
        <v>0.1</v>
      </c>
      <c s="23" r="O216">
        <v>0.002</v>
      </c>
      <c s="7" r="P216"/>
      <c s="7" r="Q216"/>
      <c s="7" r="R216">
        <f>IF((P216&gt;0),O216,0)</f>
        <v>0</v>
      </c>
      <c t="str" r="S216">
        <f>CONCATENATE(F216,E216)</f>
        <v>MillwallMillwall</v>
      </c>
    </row>
    <row r="217">
      <c t="s" s="7" r="A217">
        <v>13</v>
      </c>
      <c s="7" r="B217">
        <v>453</v>
      </c>
      <c s="7" r="C217">
        <v>38</v>
      </c>
      <c t="s" s="7" r="D217">
        <v>147</v>
      </c>
      <c t="s" s="7" r="E217">
        <v>14</v>
      </c>
      <c t="s" s="7" r="F217">
        <v>14</v>
      </c>
      <c t="s" s="7" r="G217">
        <v>14</v>
      </c>
      <c t="str" s="65" r="H217">
        <f>HYPERLINK("http://sofifa.com/en/fifa13winter/player/150581-conor-wilkinson","C. Wilkinson")</f>
        <v>C. Wilkinson</v>
      </c>
      <c s="7" r="I217">
        <v>57</v>
      </c>
      <c t="s" s="7" r="J217">
        <v>129</v>
      </c>
      <c t="s" s="7" r="K217">
        <v>118</v>
      </c>
      <c t="s" s="7" r="L217">
        <v>119</v>
      </c>
      <c s="7" r="M217">
        <v>17</v>
      </c>
      <c s="26" r="N217">
        <v>0.3</v>
      </c>
      <c s="23" r="O217">
        <v>0.002</v>
      </c>
      <c s="7" r="P217"/>
      <c s="7" r="Q217"/>
      <c s="7" r="R217">
        <f>IF((P217&gt;0),O217,0)</f>
        <v>0</v>
      </c>
      <c t="str" r="S217">
        <f>CONCATENATE(F217,E217)</f>
        <v>MillwallMillwall</v>
      </c>
    </row>
    <row r="218">
      <c t="s" s="7" r="A218">
        <v>78</v>
      </c>
      <c s="7" r="B218">
        <v>316</v>
      </c>
      <c s="7" r="C218">
        <v>13</v>
      </c>
      <c t="s" s="7" r="D218">
        <v>106</v>
      </c>
      <c t="s" s="7" r="E218">
        <v>79</v>
      </c>
      <c t="s" s="7" r="F218">
        <v>79</v>
      </c>
      <c t="s" s="7" r="G218">
        <v>79</v>
      </c>
      <c t="str" s="65" r="H218">
        <f>HYPERLINK("http://sofifa.com/en/fifa13winter/player/148069-john-sullivan","J. Sullivan")</f>
        <v>J. Sullivan</v>
      </c>
      <c s="7" r="I218">
        <v>62</v>
      </c>
      <c t="s" s="7" r="J218">
        <v>106</v>
      </c>
      <c t="s" s="7" r="K218">
        <v>134</v>
      </c>
      <c t="s" s="7" r="L218">
        <v>135</v>
      </c>
      <c s="7" r="M218">
        <v>24</v>
      </c>
      <c s="26" r="N218">
        <v>0.6</v>
      </c>
      <c s="23" r="O218">
        <v>0.004</v>
      </c>
      <c s="7" r="P218"/>
      <c s="7" r="Q218"/>
      <c s="7" r="R218">
        <f>IF((P218&gt;0),O218,0)</f>
        <v>0</v>
      </c>
      <c t="str" r="S218">
        <f>CONCATENATE(F218,E218)</f>
        <v>PortsmouthPortsmouth</v>
      </c>
    </row>
    <row r="219">
      <c t="s" s="7" r="A219">
        <v>78</v>
      </c>
      <c s="7" r="B219">
        <v>317</v>
      </c>
      <c s="7" r="C219">
        <v>10</v>
      </c>
      <c t="s" s="7" r="D219">
        <v>109</v>
      </c>
      <c t="s" s="7" r="E219">
        <v>79</v>
      </c>
      <c t="s" s="7" r="F219">
        <v>79</v>
      </c>
      <c t="s" s="7" r="G219">
        <v>79</v>
      </c>
      <c t="str" s="65" r="H219">
        <f>HYPERLINK("http://sofifa.com/en/fifa13winter/player/147470-yassin-moutaouakil","Y. Moutaouakil")</f>
        <v>Y. Moutaouakil</v>
      </c>
      <c s="7" r="I219">
        <v>60</v>
      </c>
      <c t="s" s="7" r="J219">
        <v>109</v>
      </c>
      <c t="s" s="7" r="K219">
        <v>143</v>
      </c>
      <c t="s" s="7" r="L219">
        <v>146</v>
      </c>
      <c s="7" r="M219">
        <v>26</v>
      </c>
      <c s="26" r="N219">
        <v>0.4</v>
      </c>
      <c s="23" r="O219">
        <v>0.003</v>
      </c>
      <c s="7" r="P219"/>
      <c s="7" r="Q219"/>
      <c s="7" r="R219">
        <f>IF((P219&gt;0),O219,0)</f>
        <v>0</v>
      </c>
      <c t="str" r="S219">
        <f>CONCATENATE(F219,E219)</f>
        <v>PortsmouthPortsmouth</v>
      </c>
    </row>
    <row r="220">
      <c t="s" s="7" r="A220">
        <v>78</v>
      </c>
      <c s="7" r="B220">
        <v>318</v>
      </c>
      <c s="7" r="C220">
        <v>32</v>
      </c>
      <c t="s" s="7" r="D220">
        <v>112</v>
      </c>
      <c t="s" s="7" r="E220">
        <v>79</v>
      </c>
      <c t="s" s="7" r="F220">
        <v>79</v>
      </c>
      <c t="s" s="7" r="G220">
        <v>79</v>
      </c>
      <c t="str" s="65" r="H220">
        <f>HYPERLINK("http://sofifa.com/en/fifa13winter/player/147673-joe-devera","J. Devera")</f>
        <v>J. Devera</v>
      </c>
      <c s="7" r="I220">
        <v>60</v>
      </c>
      <c t="s" s="7" r="J220">
        <v>113</v>
      </c>
      <c t="s" s="7" r="K220">
        <v>134</v>
      </c>
      <c t="s" s="7" r="L220">
        <v>138</v>
      </c>
      <c s="7" r="M220">
        <v>25</v>
      </c>
      <c s="26" r="N220">
        <v>0.5</v>
      </c>
      <c s="23" r="O220">
        <v>0.003</v>
      </c>
      <c s="7" r="P220"/>
      <c s="7" r="Q220"/>
      <c s="7" r="R220">
        <f>IF((P220&gt;0),O220,0)</f>
        <v>0</v>
      </c>
      <c t="str" r="S220">
        <f>CONCATENATE(F220,E220)</f>
        <v>PortsmouthPortsmouth</v>
      </c>
    </row>
    <row r="221">
      <c t="s" s="7" r="A221">
        <v>78</v>
      </c>
      <c s="7" r="B221">
        <v>319</v>
      </c>
      <c s="7" r="C221">
        <v>5</v>
      </c>
      <c t="s" s="7" r="D221">
        <v>116</v>
      </c>
      <c t="s" s="7" r="E221">
        <v>79</v>
      </c>
      <c t="s" s="7" r="F221">
        <v>79</v>
      </c>
      <c t="s" s="7" r="G221">
        <v>79</v>
      </c>
      <c t="str" s="65" r="H221">
        <f>HYPERLINK("http://sofifa.com/en/fifa13winter/player/149353-sonny-bradley","S. Bradley")</f>
        <v>S. Bradley</v>
      </c>
      <c s="7" r="I221">
        <v>59</v>
      </c>
      <c t="s" s="7" r="J221">
        <v>113</v>
      </c>
      <c t="s" s="7" r="K221">
        <v>155</v>
      </c>
      <c t="s" s="7" r="L221">
        <v>146</v>
      </c>
      <c s="7" r="M221">
        <v>20</v>
      </c>
      <c s="26" r="N221">
        <v>0.4</v>
      </c>
      <c s="23" r="O221">
        <v>0.002</v>
      </c>
      <c s="7" r="P221"/>
      <c s="7" r="Q221"/>
      <c s="7" r="R221">
        <f>IF((P221&gt;0),O221,0)</f>
        <v>0</v>
      </c>
      <c t="str" r="S221">
        <f>CONCATENATE(F221,E221)</f>
        <v>PortsmouthPortsmouth</v>
      </c>
    </row>
    <row r="222">
      <c t="s" s="7" r="A222">
        <v>78</v>
      </c>
      <c s="7" r="B222">
        <v>320</v>
      </c>
      <c s="7" r="C222">
        <v>34</v>
      </c>
      <c t="s" s="7" r="D222">
        <v>117</v>
      </c>
      <c t="s" s="7" r="E222">
        <v>79</v>
      </c>
      <c t="s" s="7" r="F222">
        <v>79</v>
      </c>
      <c t="s" s="7" r="G222">
        <v>79</v>
      </c>
      <c t="str" s="65" r="H222">
        <f>HYPERLINK("http://sofifa.com/en/fifa13winter/player/150431-dan-butler","D. Butler")</f>
        <v>D. Butler</v>
      </c>
      <c s="7" r="I222">
        <v>56</v>
      </c>
      <c t="s" s="7" r="J222">
        <v>117</v>
      </c>
      <c t="s" s="7" r="K222">
        <v>139</v>
      </c>
      <c t="s" s="7" r="L222">
        <v>151</v>
      </c>
      <c s="7" r="M222">
        <v>18</v>
      </c>
      <c s="26" r="N222">
        <v>0.1</v>
      </c>
      <c s="23" r="O222">
        <v>0.002</v>
      </c>
      <c s="7" r="P222"/>
      <c s="7" r="Q222"/>
      <c s="7" r="R222">
        <f>IF((P222&gt;0),O222,0)</f>
        <v>0</v>
      </c>
      <c t="str" r="S222">
        <f>CONCATENATE(F222,E222)</f>
        <v>PortsmouthPortsmouth</v>
      </c>
    </row>
    <row r="223">
      <c t="s" s="7" r="A223">
        <v>78</v>
      </c>
      <c s="7" r="B223">
        <v>321</v>
      </c>
      <c s="7" r="C223">
        <v>18</v>
      </c>
      <c t="s" s="7" r="D223">
        <v>154</v>
      </c>
      <c t="s" s="7" r="E223">
        <v>79</v>
      </c>
      <c t="s" s="7" r="F223">
        <v>79</v>
      </c>
      <c t="s" s="7" r="G223">
        <v>79</v>
      </c>
      <c t="str" s="65" r="H223">
        <f>HYPERLINK("http://sofifa.com/en/fifa13winter/player/146127-johannes-ertl","J. Ertl")</f>
        <v>J. Ertl</v>
      </c>
      <c s="7" r="I223">
        <v>60</v>
      </c>
      <c t="s" s="7" r="J223">
        <v>154</v>
      </c>
      <c t="s" s="7" r="K223">
        <v>134</v>
      </c>
      <c t="s" s="7" r="L223">
        <v>153</v>
      </c>
      <c s="7" r="M223">
        <v>29</v>
      </c>
      <c s="26" r="N223">
        <v>0.4</v>
      </c>
      <c s="23" r="O223">
        <v>0.003</v>
      </c>
      <c s="7" r="P223"/>
      <c s="7" r="Q223"/>
      <c s="7" r="R223">
        <f>IF((P223&gt;0),O223,0)</f>
        <v>0</v>
      </c>
      <c t="str" r="S223">
        <f>CONCATENATE(F223,E223)</f>
        <v>PortsmouthPortsmouth</v>
      </c>
    </row>
    <row r="224">
      <c t="s" s="7" r="A224">
        <v>78</v>
      </c>
      <c s="7" r="B224">
        <v>322</v>
      </c>
      <c s="7" r="C224">
        <v>35</v>
      </c>
      <c t="s" s="7" r="D224">
        <v>120</v>
      </c>
      <c t="s" s="7" r="E224">
        <v>79</v>
      </c>
      <c t="s" s="7" r="F224">
        <v>79</v>
      </c>
      <c t="s" s="7" r="G224">
        <v>79</v>
      </c>
      <c t="str" s="65" r="H224">
        <f>HYPERLINK("http://sofifa.com/en/fifa13winter/player/150278-jed-wallace","J. Wallace")</f>
        <v>J. Wallace</v>
      </c>
      <c s="7" r="I224">
        <v>57</v>
      </c>
      <c t="s" s="7" r="J224">
        <v>124</v>
      </c>
      <c t="s" s="7" r="K224">
        <v>118</v>
      </c>
      <c t="s" s="7" r="L224">
        <v>111</v>
      </c>
      <c s="7" r="M224">
        <v>18</v>
      </c>
      <c s="26" r="N224">
        <v>0.2</v>
      </c>
      <c s="23" r="O224">
        <v>0.002</v>
      </c>
      <c s="7" r="P224"/>
      <c s="7" r="Q224"/>
      <c s="7" r="R224">
        <f>IF((P224&gt;0),O224,0)</f>
        <v>0</v>
      </c>
      <c t="str" r="S224">
        <f>CONCATENATE(F224,E224)</f>
        <v>PortsmouthPortsmouth</v>
      </c>
    </row>
    <row r="225">
      <c t="s" s="7" r="A225">
        <v>78</v>
      </c>
      <c s="7" r="B225">
        <v>323</v>
      </c>
      <c s="7" r="C225">
        <v>24</v>
      </c>
      <c t="s" s="7" r="D225">
        <v>124</v>
      </c>
      <c t="s" s="7" r="E225">
        <v>79</v>
      </c>
      <c t="s" s="7" r="F225">
        <v>79</v>
      </c>
      <c t="s" s="7" r="G225">
        <v>79</v>
      </c>
      <c t="str" s="65" r="H225">
        <f>HYPERLINK("http://sofifa.com/en/fifa13winter/player/148655-romain-padovani","R. Padovani")</f>
        <v>R. Padovani</v>
      </c>
      <c s="7" r="I225">
        <v>54</v>
      </c>
      <c t="s" s="7" r="J225">
        <v>124</v>
      </c>
      <c t="s" s="7" r="K225">
        <v>173</v>
      </c>
      <c t="s" s="7" r="L225">
        <v>115</v>
      </c>
      <c s="7" r="M225">
        <v>22</v>
      </c>
      <c s="26" r="N225">
        <v>0.1</v>
      </c>
      <c s="23" r="O225">
        <v>0.002</v>
      </c>
      <c s="7" r="P225"/>
      <c s="7" r="Q225"/>
      <c s="7" r="R225">
        <f>IF((P225&gt;0),O225,0)</f>
        <v>0</v>
      </c>
      <c t="str" r="S225">
        <f>CONCATENATE(F225,E225)</f>
        <v>PortsmouthPortsmouth</v>
      </c>
    </row>
    <row r="226">
      <c t="s" s="7" r="A226">
        <v>78</v>
      </c>
      <c s="7" r="B226">
        <v>324</v>
      </c>
      <c s="7" r="C226">
        <v>6</v>
      </c>
      <c t="s" s="7" r="D226">
        <v>128</v>
      </c>
      <c t="s" s="7" r="E226">
        <v>79</v>
      </c>
      <c t="s" s="7" r="F226">
        <v>79</v>
      </c>
      <c t="s" s="7" r="G226">
        <v>79</v>
      </c>
      <c t="str" s="65" r="H226">
        <f>HYPERLINK("http://sofifa.com/en/fifa13winter/player/148105-liam-walker","L. Walker")</f>
        <v>L. Walker</v>
      </c>
      <c s="7" r="I226">
        <v>58</v>
      </c>
      <c t="s" s="7" r="J226">
        <v>124</v>
      </c>
      <c t="s" s="7" r="K226">
        <v>182</v>
      </c>
      <c t="s" s="7" r="L226">
        <v>151</v>
      </c>
      <c s="7" r="M226">
        <v>24</v>
      </c>
      <c s="26" r="N226">
        <v>0.3</v>
      </c>
      <c s="23" r="O226">
        <v>0.003</v>
      </c>
      <c s="7" r="P226"/>
      <c s="7" r="Q226"/>
      <c s="7" r="R226">
        <f>IF((P226&gt;0),O226,0)</f>
        <v>0</v>
      </c>
      <c t="str" r="S226">
        <f>CONCATENATE(F226,E226)</f>
        <v>PortsmouthPortsmouth</v>
      </c>
    </row>
    <row r="227">
      <c t="s" s="7" r="A227">
        <v>78</v>
      </c>
      <c s="7" r="B227">
        <v>325</v>
      </c>
      <c s="7" r="C227">
        <v>11</v>
      </c>
      <c t="s" s="7" r="D227">
        <v>131</v>
      </c>
      <c t="s" s="7" r="E227">
        <v>79</v>
      </c>
      <c t="s" s="7" r="F227">
        <v>79</v>
      </c>
      <c t="s" s="7" r="G227">
        <v>79</v>
      </c>
      <c t="str" s="65" r="H227">
        <f>HYPERLINK("http://sofifa.com/en/fifa13winter/player/147558-tom-craddock","T. Craddock")</f>
        <v>T. Craddock</v>
      </c>
      <c s="7" r="I227">
        <v>59</v>
      </c>
      <c t="s" s="7" r="J227">
        <v>129</v>
      </c>
      <c t="s" s="7" r="K227">
        <v>114</v>
      </c>
      <c t="s" s="7" r="L227">
        <v>151</v>
      </c>
      <c s="7" r="M227">
        <v>25</v>
      </c>
      <c s="26" r="N227">
        <v>0.5</v>
      </c>
      <c s="23" r="O227">
        <v>0.003</v>
      </c>
      <c s="7" r="P227"/>
      <c s="7" r="Q227"/>
      <c s="7" r="R227">
        <f>IF((P227&gt;0),O227,0)</f>
        <v>0</v>
      </c>
      <c t="str" r="S227">
        <f>CONCATENATE(F227,E227)</f>
        <v>PortsmouthPortsmouth</v>
      </c>
    </row>
    <row r="228">
      <c t="s" s="7" r="A228">
        <v>78</v>
      </c>
      <c s="7" r="B228">
        <v>326</v>
      </c>
      <c s="7" r="C228">
        <v>23</v>
      </c>
      <c t="s" s="7" r="D228">
        <v>133</v>
      </c>
      <c t="s" s="7" r="E228">
        <v>79</v>
      </c>
      <c t="s" s="7" r="F228">
        <v>79</v>
      </c>
      <c t="s" s="7" r="G228">
        <v>79</v>
      </c>
      <c t="str" s="65" r="H228">
        <f>HYPERLINK("http://sofifa.com/en/fifa13winter/player/145352-patrick-agyemang","P. Agyemang")</f>
        <v>P. Agyemang</v>
      </c>
      <c s="7" r="I228">
        <v>60</v>
      </c>
      <c t="s" s="7" r="J228">
        <v>129</v>
      </c>
      <c t="s" s="7" r="K228">
        <v>132</v>
      </c>
      <c t="s" s="7" r="L228">
        <v>191</v>
      </c>
      <c s="7" r="M228">
        <v>31</v>
      </c>
      <c s="26" r="N228">
        <v>0.5</v>
      </c>
      <c s="23" r="O228">
        <v>0.004</v>
      </c>
      <c s="7" r="P228"/>
      <c s="7" r="Q228"/>
      <c s="7" r="R228">
        <f>IF((P228&gt;0),O228,0)</f>
        <v>0</v>
      </c>
      <c t="str" r="S228">
        <f>CONCATENATE(F228,E228)</f>
        <v>PortsmouthPortsmouth</v>
      </c>
    </row>
    <row r="229">
      <c t="s" s="7" r="A229">
        <v>78</v>
      </c>
      <c s="7" r="B229">
        <v>327</v>
      </c>
      <c s="7" r="C229">
        <v>37</v>
      </c>
      <c t="s" s="7" r="D229">
        <v>136</v>
      </c>
      <c t="s" s="7" r="E229">
        <v>79</v>
      </c>
      <c t="s" s="7" r="F229">
        <v>79</v>
      </c>
      <c t="s" s="7" r="G229">
        <v>79</v>
      </c>
      <c t="str" s="65" r="H229">
        <f>HYPERLINK("http://sofifa.com/en/fifa13winter/player/150868-bradley-tarbuck","B. Tarbuck")</f>
        <v>B. Tarbuck</v>
      </c>
      <c s="7" r="I229">
        <v>45</v>
      </c>
      <c t="s" s="7" r="J229">
        <v>120</v>
      </c>
      <c t="s" s="7" r="K229">
        <v>114</v>
      </c>
      <c t="s" s="7" r="L229">
        <v>151</v>
      </c>
      <c s="7" r="M229">
        <v>16</v>
      </c>
      <c s="26" r="N229">
        <v>0.1</v>
      </c>
      <c s="23" r="O229">
        <v>0.001</v>
      </c>
      <c s="7" r="P229"/>
      <c s="7" r="Q229"/>
      <c s="7" r="R229">
        <f>IF((P229&gt;0),O229,0)</f>
        <v>0</v>
      </c>
      <c t="str" r="S229">
        <f>CONCATENATE(F229,E229)</f>
        <v>PortsmouthPortsmouth</v>
      </c>
    </row>
    <row r="230">
      <c t="s" s="7" r="A230">
        <v>78</v>
      </c>
      <c s="7" r="B230">
        <v>328</v>
      </c>
      <c s="7" r="C230">
        <v>25</v>
      </c>
      <c t="s" s="7" r="D230">
        <v>136</v>
      </c>
      <c t="s" s="7" r="E230">
        <v>79</v>
      </c>
      <c t="s" s="7" r="F230">
        <v>79</v>
      </c>
      <c t="s" s="7" r="G230">
        <v>79</v>
      </c>
      <c t="str" s="65" r="H230">
        <f>HYPERLINK("http://sofifa.com/en/fifa13winter/player/150663-nick-awford","N. Awford")</f>
        <v>N. Awford</v>
      </c>
      <c s="7" r="I230">
        <v>49</v>
      </c>
      <c t="s" s="7" r="J230">
        <v>124</v>
      </c>
      <c t="s" s="7" r="K230">
        <v>172</v>
      </c>
      <c t="s" s="7" r="L230">
        <v>111</v>
      </c>
      <c s="7" r="M230">
        <v>17</v>
      </c>
      <c s="26" r="N230">
        <v>0.1</v>
      </c>
      <c s="23" r="O230">
        <v>0.001</v>
      </c>
      <c s="7" r="P230"/>
      <c s="7" r="Q230"/>
      <c s="7" r="R230">
        <f>IF((P230&gt;0),O230,0)</f>
        <v>0</v>
      </c>
      <c t="str" r="S230">
        <f>CONCATENATE(F230,E230)</f>
        <v>PortsmouthPortsmouth</v>
      </c>
    </row>
    <row r="231">
      <c t="s" s="7" r="A231">
        <v>78</v>
      </c>
      <c s="7" r="B231">
        <v>329</v>
      </c>
      <c s="7" r="C231">
        <v>21</v>
      </c>
      <c t="s" s="7" r="D231">
        <v>136</v>
      </c>
      <c t="s" s="7" r="E231">
        <v>79</v>
      </c>
      <c t="s" s="7" r="F231">
        <v>79</v>
      </c>
      <c t="s" s="7" r="G231">
        <v>79</v>
      </c>
      <c t="str" s="65" r="H231">
        <f>HYPERLINK("http://sofifa.com/en/fifa13winter/player/150171-ashley-harris","A. Harris")</f>
        <v>A. Harris</v>
      </c>
      <c s="7" r="I231">
        <v>59</v>
      </c>
      <c t="s" s="7" r="J231">
        <v>129</v>
      </c>
      <c t="s" s="7" r="K231">
        <v>130</v>
      </c>
      <c t="s" s="7" r="L231">
        <v>115</v>
      </c>
      <c s="7" r="M231">
        <v>18</v>
      </c>
      <c s="26" r="N231">
        <v>0.5</v>
      </c>
      <c s="23" r="O231">
        <v>0.002</v>
      </c>
      <c s="7" r="P231"/>
      <c s="7" r="Q231"/>
      <c s="7" r="R231">
        <f>IF((P231&gt;0),O231,0)</f>
        <v>0</v>
      </c>
      <c t="str" r="S231">
        <f>CONCATENATE(F231,E231)</f>
        <v>PortsmouthPortsmouth</v>
      </c>
    </row>
    <row r="232">
      <c t="s" s="7" r="A232">
        <v>78</v>
      </c>
      <c s="7" r="B232">
        <v>330</v>
      </c>
      <c s="7" r="C232">
        <v>31</v>
      </c>
      <c t="s" s="7" r="D232">
        <v>136</v>
      </c>
      <c t="s" s="7" r="E232">
        <v>79</v>
      </c>
      <c t="s" s="7" r="F232">
        <v>79</v>
      </c>
      <c t="s" s="7" r="G232">
        <v>79</v>
      </c>
      <c t="str" s="65" r="H232">
        <f>HYPERLINK("http://sofifa.com/en/fifa13winter/player/150535-jack-maloney","J. Maloney")</f>
        <v>J. Maloney</v>
      </c>
      <c s="7" r="I232">
        <v>50</v>
      </c>
      <c t="s" s="7" r="J232">
        <v>129</v>
      </c>
      <c t="s" s="7" r="K232">
        <v>110</v>
      </c>
      <c t="s" s="7" r="L232">
        <v>137</v>
      </c>
      <c s="7" r="M232">
        <v>17</v>
      </c>
      <c s="26" r="N232">
        <v>0.1</v>
      </c>
      <c s="23" r="O232">
        <v>0.001</v>
      </c>
      <c s="7" r="P232"/>
      <c s="7" r="Q232"/>
      <c s="7" r="R232">
        <f>IF((P232&gt;0),O232,0)</f>
        <v>0</v>
      </c>
      <c t="str" r="S232">
        <f>CONCATENATE(F232,E232)</f>
        <v>PortsmouthPortsmouth</v>
      </c>
    </row>
    <row r="233">
      <c t="s" s="7" r="A233">
        <v>78</v>
      </c>
      <c s="7" r="B233">
        <v>331</v>
      </c>
      <c s="7" r="C233">
        <v>22</v>
      </c>
      <c t="s" s="7" r="D233">
        <v>136</v>
      </c>
      <c t="s" s="7" r="E233">
        <v>79</v>
      </c>
      <c t="s" s="7" r="F233">
        <v>79</v>
      </c>
      <c t="s" s="7" r="G233">
        <v>79</v>
      </c>
      <c t="str" s="65" r="H233">
        <f>HYPERLINK("http://sofifa.com/en/fifa13winter/player/150562-adam-webster","A. Webster")</f>
        <v>A. Webster</v>
      </c>
      <c s="7" r="I233">
        <v>56</v>
      </c>
      <c t="s" s="7" r="J233">
        <v>113</v>
      </c>
      <c t="s" s="7" r="K233">
        <v>144</v>
      </c>
      <c t="s" s="7" r="L233">
        <v>151</v>
      </c>
      <c s="7" r="M233">
        <v>17</v>
      </c>
      <c s="26" r="N233">
        <v>0.1</v>
      </c>
      <c s="23" r="O233">
        <v>0.001</v>
      </c>
      <c s="7" r="P233"/>
      <c s="7" r="Q233"/>
      <c s="7" r="R233">
        <f>IF((P233&gt;0),O233,0)</f>
        <v>0</v>
      </c>
      <c t="str" r="S233">
        <f>CONCATENATE(F233,E233)</f>
        <v>PortsmouthPortsmouth</v>
      </c>
    </row>
    <row r="234">
      <c t="s" s="7" r="A234">
        <v>78</v>
      </c>
      <c s="7" r="B234">
        <v>332</v>
      </c>
      <c s="7" r="C234">
        <v>15</v>
      </c>
      <c t="s" s="7" r="D234">
        <v>136</v>
      </c>
      <c t="s" s="7" r="E234">
        <v>79</v>
      </c>
      <c t="s" s="7" r="F234">
        <v>79</v>
      </c>
      <c t="s" s="7" r="G234">
        <v>79</v>
      </c>
      <c t="str" s="65" r="H234">
        <f>HYPERLINK("http://sofifa.com/en/fifa13winter/player/149366-danny-east","D. East")</f>
        <v>D. East</v>
      </c>
      <c s="7" r="I234">
        <v>57</v>
      </c>
      <c t="s" s="7" r="J234">
        <v>109</v>
      </c>
      <c t="s" s="7" r="K234">
        <v>159</v>
      </c>
      <c t="s" s="7" r="L234">
        <v>142</v>
      </c>
      <c s="7" r="M234">
        <v>20</v>
      </c>
      <c s="26" r="N234">
        <v>0.2</v>
      </c>
      <c s="23" r="O234">
        <v>0.002</v>
      </c>
      <c s="7" r="P234"/>
      <c s="7" r="Q234"/>
      <c s="7" r="R234">
        <f>IF((P234&gt;0),O234,0)</f>
        <v>0</v>
      </c>
      <c t="str" r="S234">
        <f>CONCATENATE(F234,E234)</f>
        <v>PortsmouthPortsmouth</v>
      </c>
    </row>
    <row r="235">
      <c t="s" s="7" r="A235">
        <v>78</v>
      </c>
      <c s="7" r="B235">
        <v>333</v>
      </c>
      <c s="7" r="C235">
        <v>33</v>
      </c>
      <c t="s" s="7" r="D235">
        <v>136</v>
      </c>
      <c t="s" s="7" r="E235">
        <v>79</v>
      </c>
      <c t="s" s="7" r="F235">
        <v>79</v>
      </c>
      <c t="s" s="7" r="G235">
        <v>79</v>
      </c>
      <c t="str" s="65" r="H235">
        <f>HYPERLINK("http://sofifa.com/en/fifa13winter/player/144625-ricardo-sergio-rocha-azevedo","Ricardo Rocha")</f>
        <v>Ricardo Rocha</v>
      </c>
      <c s="7" r="I235">
        <v>65</v>
      </c>
      <c t="s" s="7" r="J235">
        <v>113</v>
      </c>
      <c t="s" s="7" r="K235">
        <v>110</v>
      </c>
      <c t="s" s="7" r="L235">
        <v>153</v>
      </c>
      <c s="7" r="M235">
        <v>33</v>
      </c>
      <c s="26" r="N235">
        <v>0.7</v>
      </c>
      <c s="23" r="O235">
        <v>0.006</v>
      </c>
      <c s="7" r="P235"/>
      <c s="7" r="Q235"/>
      <c s="7" r="R235">
        <f>IF((P235&gt;0),O235,0)</f>
        <v>0</v>
      </c>
      <c t="str" r="S235">
        <f>CONCATENATE(F235,E235)</f>
        <v>PortsmouthPortsmouth</v>
      </c>
    </row>
    <row r="236">
      <c t="s" s="7" r="A236">
        <v>78</v>
      </c>
      <c s="7" r="B236">
        <v>334</v>
      </c>
      <c s="7" r="C236">
        <v>20</v>
      </c>
      <c t="s" s="7" r="D236">
        <v>136</v>
      </c>
      <c t="s" s="7" r="E236">
        <v>79</v>
      </c>
      <c t="s" s="7" r="F236">
        <v>79</v>
      </c>
      <c t="s" s="7" r="G236">
        <v>79</v>
      </c>
      <c t="str" s="65" r="H236">
        <f>HYPERLINK("http://sofifa.com/en/fifa13winter/player/148556-john-akinde","J. Akinde")</f>
        <v>J. Akinde</v>
      </c>
      <c s="7" r="I236">
        <v>57</v>
      </c>
      <c t="s" s="7" r="J236">
        <v>129</v>
      </c>
      <c t="s" s="7" r="K236">
        <v>134</v>
      </c>
      <c t="s" s="7" r="L236">
        <v>192</v>
      </c>
      <c s="7" r="M236">
        <v>23</v>
      </c>
      <c s="26" r="N236">
        <v>0.2</v>
      </c>
      <c s="23" r="O236">
        <v>0.002</v>
      </c>
      <c s="7" r="P236"/>
      <c s="7" r="Q236"/>
      <c s="7" r="R236">
        <f>IF((P236&gt;0),O236,0)</f>
        <v>0</v>
      </c>
      <c t="str" r="S236">
        <f>CONCATENATE(F236,E236)</f>
        <v>PortsmouthPortsmouth</v>
      </c>
    </row>
    <row r="237">
      <c t="s" s="7" r="A237">
        <v>78</v>
      </c>
      <c s="7" r="B237">
        <v>335</v>
      </c>
      <c s="7" r="C237">
        <v>4</v>
      </c>
      <c t="s" s="7" r="D237">
        <v>136</v>
      </c>
      <c t="s" s="7" r="E237">
        <v>79</v>
      </c>
      <c t="s" s="7" r="F237">
        <v>79</v>
      </c>
      <c t="s" s="7" r="G237">
        <v>79</v>
      </c>
      <c t="str" s="65" r="H237">
        <f>HYPERLINK("http://sofifa.com/en/fifa13winter/player/144859-sam-sodje","S. Sodje")</f>
        <v>S. Sodje</v>
      </c>
      <c s="7" r="I237">
        <v>63</v>
      </c>
      <c t="s" s="7" r="J237">
        <v>113</v>
      </c>
      <c t="s" s="7" r="K237">
        <v>110</v>
      </c>
      <c t="s" s="7" r="L237">
        <v>137</v>
      </c>
      <c s="7" r="M237">
        <v>33</v>
      </c>
      <c s="26" r="N237">
        <v>0.5</v>
      </c>
      <c s="23" r="O237">
        <v>0.005</v>
      </c>
      <c s="7" r="P237"/>
      <c s="7" r="Q237"/>
      <c s="7" r="R237">
        <f>IF((P237&gt;0),O237,0)</f>
        <v>0</v>
      </c>
      <c t="str" r="S237">
        <f>CONCATENATE(F237,E237)</f>
        <v>PortsmouthPortsmouth</v>
      </c>
    </row>
    <row r="238">
      <c t="s" s="7" r="A238">
        <v>78</v>
      </c>
      <c s="7" r="B238">
        <v>336</v>
      </c>
      <c s="7" r="C238">
        <v>9</v>
      </c>
      <c t="s" s="7" r="D238">
        <v>136</v>
      </c>
      <c t="s" s="7" r="E238">
        <v>79</v>
      </c>
      <c t="s" s="7" r="F238">
        <v>79</v>
      </c>
      <c t="s" s="7" r="G238">
        <v>79</v>
      </c>
      <c t="str" s="65" r="H238">
        <f>HYPERLINK("http://sofifa.com/en/fifa13winter/player/144141-david-connolly","D. Connolly")</f>
        <v>D. Connolly</v>
      </c>
      <c s="7" r="I238">
        <v>63</v>
      </c>
      <c t="s" s="7" r="J238">
        <v>129</v>
      </c>
      <c t="s" s="7" r="K238">
        <v>139</v>
      </c>
      <c t="s" s="7" r="L238">
        <v>115</v>
      </c>
      <c s="7" r="M238">
        <v>35</v>
      </c>
      <c s="26" r="N238">
        <v>0.6</v>
      </c>
      <c s="23" r="O238">
        <v>0.005</v>
      </c>
      <c s="7" r="P238"/>
      <c s="7" r="Q238"/>
      <c s="7" r="R238">
        <f>IF((P238&gt;0),O238,0)</f>
        <v>0</v>
      </c>
      <c t="str" r="S238">
        <f>CONCATENATE(F238,E238)</f>
        <v>PortsmouthPortsmouth</v>
      </c>
    </row>
    <row r="239">
      <c t="s" s="7" r="A239">
        <v>78</v>
      </c>
      <c s="7" r="B239">
        <v>337</v>
      </c>
      <c s="7" r="C239">
        <v>1</v>
      </c>
      <c t="s" s="7" r="D239">
        <v>136</v>
      </c>
      <c t="s" s="7" r="E239">
        <v>79</v>
      </c>
      <c t="s" s="7" r="F239">
        <v>79</v>
      </c>
      <c t="s" s="7" r="G239">
        <v>79</v>
      </c>
      <c t="str" s="65" r="H239">
        <f>HYPERLINK("http://sofifa.com/en/fifa13winter/player/145062-phil-smith","P. Smith")</f>
        <v>P. Smith</v>
      </c>
      <c s="7" r="I239">
        <v>56</v>
      </c>
      <c t="s" s="7" r="J239">
        <v>106</v>
      </c>
      <c t="s" s="7" r="K239">
        <v>132</v>
      </c>
      <c t="s" s="7" r="L239">
        <v>108</v>
      </c>
      <c s="7" r="M239">
        <v>32</v>
      </c>
      <c s="26" r="N239">
        <v>0.1</v>
      </c>
      <c s="23" r="O239">
        <v>0.002</v>
      </c>
      <c s="7" r="P239"/>
      <c s="7" r="Q239"/>
      <c s="7" r="R239">
        <f>IF((P239&gt;0),O239,0)</f>
        <v>0</v>
      </c>
      <c t="str" r="S239">
        <f>CONCATENATE(F239,E239)</f>
        <v>PortsmouthPortsmouth</v>
      </c>
    </row>
    <row r="240">
      <c t="s" s="7" r="A240">
        <v>78</v>
      </c>
      <c s="7" r="B240">
        <v>338</v>
      </c>
      <c s="7" r="C240">
        <v>39</v>
      </c>
      <c t="s" s="7" r="D240">
        <v>136</v>
      </c>
      <c t="s" s="7" r="E240">
        <v>79</v>
      </c>
      <c t="s" s="7" r="F240">
        <v>79</v>
      </c>
      <c t="s" s="7" r="G240">
        <v>79</v>
      </c>
      <c t="str" s="65" r="H240">
        <f>HYPERLINK("http://sofifa.com/en/fifa13winter/player/150597-joshua-warren","J. Warren")</f>
        <v>J. Warren</v>
      </c>
      <c s="7" r="I240">
        <v>51</v>
      </c>
      <c t="s" s="7" r="J240">
        <v>113</v>
      </c>
      <c t="s" s="7" r="K240">
        <v>145</v>
      </c>
      <c t="s" s="7" r="L240">
        <v>161</v>
      </c>
      <c s="7" r="M240">
        <v>17</v>
      </c>
      <c s="26" r="N240">
        <v>0.1</v>
      </c>
      <c s="23" r="O240">
        <v>0.001</v>
      </c>
      <c s="7" r="P240"/>
      <c s="7" r="Q240"/>
      <c s="7" r="R240">
        <f>IF((P240&gt;0),O240,0)</f>
        <v>0</v>
      </c>
      <c t="str" r="S240">
        <f>CONCATENATE(F240,E240)</f>
        <v>PortsmouthPortsmouth</v>
      </c>
    </row>
    <row r="241">
      <c t="s" s="7" r="A241">
        <v>78</v>
      </c>
      <c s="7" r="B241">
        <v>339</v>
      </c>
      <c s="7" r="C241">
        <v>38</v>
      </c>
      <c t="s" s="7" r="D241">
        <v>147</v>
      </c>
      <c t="s" s="7" r="E241">
        <v>79</v>
      </c>
      <c t="s" s="7" r="F241">
        <v>79</v>
      </c>
      <c t="s" s="7" r="G241">
        <v>79</v>
      </c>
      <c t="str" s="65" r="H241">
        <f>HYPERLINK("http://sofifa.com/en/fifa13winter/player/150497-liam-triggs","L. Triggs")</f>
        <v>L. Triggs</v>
      </c>
      <c s="7" r="I241">
        <v>51</v>
      </c>
      <c t="s" s="7" r="J241">
        <v>117</v>
      </c>
      <c t="s" s="7" r="K241">
        <v>110</v>
      </c>
      <c t="s" s="7" r="L241">
        <v>151</v>
      </c>
      <c s="7" r="M241">
        <v>17</v>
      </c>
      <c s="26" r="N241">
        <v>0.1</v>
      </c>
      <c s="23" r="O241">
        <v>0.001</v>
      </c>
      <c s="7" r="P241"/>
      <c s="7" r="Q241"/>
      <c s="7" r="R241">
        <f>IF((P241&gt;0),O241,0)</f>
        <v>0</v>
      </c>
      <c t="str" r="S241">
        <f>CONCATENATE(F241,E241)</f>
        <v>PortsmouthPortsmouth</v>
      </c>
    </row>
    <row r="242">
      <c t="s" s="7" r="A242">
        <v>78</v>
      </c>
      <c s="7" r="B242">
        <v>340</v>
      </c>
      <c s="7" r="C242">
        <v>36</v>
      </c>
      <c t="s" s="7" r="D242">
        <v>147</v>
      </c>
      <c t="s" s="7" r="E242">
        <v>79</v>
      </c>
      <c t="s" s="7" r="F242">
        <v>79</v>
      </c>
      <c t="s" s="7" r="G242">
        <v>79</v>
      </c>
      <c t="str" s="65" r="H242">
        <f>HYPERLINK("http://sofifa.com/en/fifa13winter/player/150481-george-branford","G. Branford")</f>
        <v>G. Branford</v>
      </c>
      <c s="7" r="I242">
        <v>50</v>
      </c>
      <c t="s" s="7" r="J242">
        <v>124</v>
      </c>
      <c t="s" s="7" r="K242">
        <v>110</v>
      </c>
      <c t="s" s="7" r="L242">
        <v>151</v>
      </c>
      <c s="7" r="M242">
        <v>17</v>
      </c>
      <c s="26" r="N242">
        <v>0.1</v>
      </c>
      <c s="23" r="O242">
        <v>0.001</v>
      </c>
      <c s="7" r="P242"/>
      <c s="7" r="Q242"/>
      <c s="7" r="R242">
        <f>IF((P242&gt;0),O242,0)</f>
        <v>0</v>
      </c>
      <c t="str" r="S242">
        <f>CONCATENATE(F242,E242)</f>
        <v>PortsmouthPortsmouth</v>
      </c>
    </row>
    <row r="243">
      <c t="s" s="7" r="A243">
        <v>58</v>
      </c>
      <c s="7" r="B243">
        <v>288</v>
      </c>
      <c s="7" r="C243">
        <v>29</v>
      </c>
      <c t="s" s="7" r="D243">
        <v>106</v>
      </c>
      <c t="s" s="7" r="E243">
        <v>59</v>
      </c>
      <c t="s" s="7" r="F243">
        <v>59</v>
      </c>
      <c t="s" s="7" r="G243">
        <v>59</v>
      </c>
      <c t="str" s="65" r="H243">
        <f>HYPERLINK("http://sofifa.com/en/fifa13winter/player/145889-tomasz-kuszczak","T. Kuszczak")</f>
        <v>T. Kuszczak</v>
      </c>
      <c s="7" r="I243">
        <v>73</v>
      </c>
      <c t="s" s="7" r="J243">
        <v>106</v>
      </c>
      <c t="s" s="7" r="K243">
        <v>144</v>
      </c>
      <c t="s" s="7" r="L243">
        <v>156</v>
      </c>
      <c s="7" r="M243">
        <v>30</v>
      </c>
      <c s="26" r="N243">
        <v>2.1</v>
      </c>
      <c s="23" r="O243">
        <v>0.011</v>
      </c>
      <c s="7" r="P243"/>
      <c s="7" r="Q243"/>
      <c s="7" r="R243">
        <f>IF((P243&gt;0),O243,0)</f>
        <v>0</v>
      </c>
      <c t="str" r="S243">
        <f>CONCATENATE(F243,E243)</f>
        <v>Brighton &amp; HoveBrighton &amp; Hove</v>
      </c>
    </row>
    <row r="244">
      <c t="s" s="7" r="A244">
        <v>58</v>
      </c>
      <c s="7" r="B244">
        <v>289</v>
      </c>
      <c s="7" r="C244">
        <v>2</v>
      </c>
      <c t="s" s="7" r="D244">
        <v>109</v>
      </c>
      <c t="s" s="7" r="E244">
        <v>59</v>
      </c>
      <c t="s" s="7" r="F244">
        <v>59</v>
      </c>
      <c t="s" s="7" r="G244">
        <v>59</v>
      </c>
      <c t="str" s="65" r="H244">
        <f>HYPERLINK("http://sofifa.com/en/fifa13winter/player/145354-bruno-saltor-grau","Bruno Saltor")</f>
        <v>Bruno Saltor</v>
      </c>
      <c s="7" r="I244">
        <v>70</v>
      </c>
      <c t="s" s="7" r="J244">
        <v>109</v>
      </c>
      <c t="s" s="7" r="K244">
        <v>150</v>
      </c>
      <c t="s" s="7" r="L244">
        <v>137</v>
      </c>
      <c s="7" r="M244">
        <v>31</v>
      </c>
      <c s="26" r="N244">
        <v>1.4</v>
      </c>
      <c s="23" r="O244">
        <v>0.008</v>
      </c>
      <c s="7" r="P244"/>
      <c s="7" r="Q244"/>
      <c s="7" r="R244">
        <f>IF((P244&gt;0),O244,0)</f>
        <v>0</v>
      </c>
      <c t="str" r="S244">
        <f>CONCATENATE(F244,E244)</f>
        <v>Brighton &amp; HoveBrighton &amp; Hove</v>
      </c>
    </row>
    <row r="245">
      <c t="s" s="7" r="A245">
        <v>58</v>
      </c>
      <c s="7" r="B245">
        <v>290</v>
      </c>
      <c s="7" r="C245">
        <v>3</v>
      </c>
      <c t="s" s="7" r="D245">
        <v>112</v>
      </c>
      <c t="s" s="7" r="E245">
        <v>59</v>
      </c>
      <c t="s" s="7" r="F245">
        <v>59</v>
      </c>
      <c t="s" s="7" r="G245">
        <v>59</v>
      </c>
      <c t="str" s="65" r="H245">
        <f>HYPERLINK("http://sofifa.com/en/fifa13winter/player/145428-gordon-greer","G. Greer")</f>
        <v>G. Greer</v>
      </c>
      <c s="7" r="I245">
        <v>67</v>
      </c>
      <c t="s" s="7" r="J245">
        <v>113</v>
      </c>
      <c t="s" s="7" r="K245">
        <v>165</v>
      </c>
      <c t="s" s="7" r="L245">
        <v>108</v>
      </c>
      <c s="7" r="M245">
        <v>31</v>
      </c>
      <c s="26" r="N245">
        <v>1.1</v>
      </c>
      <c s="23" r="O245">
        <v>0.006</v>
      </c>
      <c s="7" r="P245"/>
      <c s="7" r="Q245"/>
      <c s="7" r="R245">
        <f>IF((P245&gt;0),O245,0)</f>
        <v>0</v>
      </c>
      <c t="str" r="S245">
        <f>CONCATENATE(F245,E245)</f>
        <v>Brighton &amp; HoveBrighton &amp; Hove</v>
      </c>
    </row>
    <row r="246">
      <c t="s" s="7" r="A246">
        <v>58</v>
      </c>
      <c s="7" r="B246">
        <v>291</v>
      </c>
      <c s="7" r="C246">
        <v>5</v>
      </c>
      <c t="s" s="7" r="D246">
        <v>116</v>
      </c>
      <c t="s" s="7" r="E246">
        <v>59</v>
      </c>
      <c t="s" s="7" r="F246">
        <v>59</v>
      </c>
      <c t="s" s="7" r="G246">
        <v>59</v>
      </c>
      <c t="str" s="65" r="H246">
        <f>HYPERLINK("http://sofifa.com/en/fifa13winter/player/149422-lewis-dunk","L. Dunk")</f>
        <v>L. Dunk</v>
      </c>
      <c s="7" r="I246">
        <v>66</v>
      </c>
      <c t="s" s="7" r="J246">
        <v>113</v>
      </c>
      <c t="s" s="7" r="K246">
        <v>165</v>
      </c>
      <c t="s" s="7" r="L246">
        <v>192</v>
      </c>
      <c s="7" r="M246">
        <v>20</v>
      </c>
      <c s="26" r="N246">
        <v>1.3</v>
      </c>
      <c s="23" r="O246">
        <v>0.004</v>
      </c>
      <c s="7" r="P246"/>
      <c s="7" r="Q246"/>
      <c s="7" r="R246">
        <f>IF((P246&gt;0),O246,0)</f>
        <v>0</v>
      </c>
      <c t="str" r="S246">
        <f>CONCATENATE(F246,E246)</f>
        <v>Brighton &amp; HoveBrighton &amp; Hove</v>
      </c>
    </row>
    <row r="247">
      <c t="s" s="7" r="A247">
        <v>58</v>
      </c>
      <c s="7" r="B247">
        <v>292</v>
      </c>
      <c s="7" r="C247">
        <v>14</v>
      </c>
      <c t="s" s="7" r="D247">
        <v>117</v>
      </c>
      <c t="s" s="7" r="E247">
        <v>59</v>
      </c>
      <c t="s" s="7" r="F247">
        <v>59</v>
      </c>
      <c t="s" s="7" r="G247">
        <v>59</v>
      </c>
      <c t="str" s="65" r="H247">
        <f>HYPERLINK("http://sofifa.com/en/fifa13winter/player/145814-inigo-calderon-zapateria","Iñigo Calderón")</f>
        <v>Iñigo Calderón</v>
      </c>
      <c s="7" r="I247">
        <v>65</v>
      </c>
      <c t="s" s="7" r="J247">
        <v>109</v>
      </c>
      <c t="s" s="7" r="K247">
        <v>145</v>
      </c>
      <c t="s" s="7" r="L247">
        <v>138</v>
      </c>
      <c s="7" r="M247">
        <v>30</v>
      </c>
      <c s="26" r="N247">
        <v>0.8</v>
      </c>
      <c s="23" r="O247">
        <v>0.005</v>
      </c>
      <c s="7" r="P247"/>
      <c s="7" r="Q247"/>
      <c s="7" r="R247">
        <f>IF((P247&gt;0),O247,0)</f>
        <v>0</v>
      </c>
      <c t="str" r="S247">
        <f>CONCATENATE(F247,E247)</f>
        <v>Brighton &amp; HoveBrighton &amp; Hove</v>
      </c>
    </row>
    <row r="248">
      <c t="s" s="7" r="A248">
        <v>58</v>
      </c>
      <c s="7" r="B248">
        <v>293</v>
      </c>
      <c s="7" r="C248">
        <v>26</v>
      </c>
      <c t="s" s="7" r="D248">
        <v>154</v>
      </c>
      <c t="s" s="7" r="E248">
        <v>59</v>
      </c>
      <c t="s" s="7" r="F248">
        <v>59</v>
      </c>
      <c t="s" s="7" r="G248">
        <v>59</v>
      </c>
      <c t="str" s="65" r="H248">
        <f>HYPERLINK("http://sofifa.com/en/fifa13winter/player/148495-liam-bridcutt","L. Bridcutt")</f>
        <v>L. Bridcutt</v>
      </c>
      <c s="7" r="I248">
        <v>71</v>
      </c>
      <c t="s" s="7" r="J248">
        <v>154</v>
      </c>
      <c t="s" s="7" r="K248">
        <v>195</v>
      </c>
      <c t="s" s="7" r="L248">
        <v>137</v>
      </c>
      <c s="7" r="M248">
        <v>23</v>
      </c>
      <c s="26" r="N248">
        <v>2.2</v>
      </c>
      <c s="23" r="O248">
        <v>0.007</v>
      </c>
      <c s="7" r="P248"/>
      <c s="7" r="Q248"/>
      <c s="7" r="R248">
        <f>IF((P248&gt;0),O248,0)</f>
        <v>0</v>
      </c>
      <c t="str" r="S248">
        <f>CONCATENATE(F248,E248)</f>
        <v>Brighton &amp; HoveBrighton &amp; Hove</v>
      </c>
    </row>
    <row r="249">
      <c t="s" s="7" r="A249">
        <v>58</v>
      </c>
      <c s="7" r="B249">
        <v>294</v>
      </c>
      <c s="7" r="C249">
        <v>21</v>
      </c>
      <c t="s" s="7" r="D249">
        <v>123</v>
      </c>
      <c t="s" s="7" r="E249">
        <v>59</v>
      </c>
      <c t="s" s="7" r="F249">
        <v>59</v>
      </c>
      <c t="s" s="7" r="G249">
        <v>59</v>
      </c>
      <c t="str" s="65" r="H249">
        <f>HYPERLINK("http://sofifa.com/en/fifa13winter/player/146063-david-lopez-moreno","David López")</f>
        <v>David López</v>
      </c>
      <c s="7" r="I249">
        <v>71</v>
      </c>
      <c t="s" s="7" r="J249">
        <v>157</v>
      </c>
      <c t="s" s="7" r="K249">
        <v>150</v>
      </c>
      <c t="s" s="7" r="L249">
        <v>151</v>
      </c>
      <c s="7" r="M249">
        <v>29</v>
      </c>
      <c s="26" r="N249">
        <v>2.2</v>
      </c>
      <c s="23" r="O249">
        <v>0.008</v>
      </c>
      <c s="7" r="P249"/>
      <c s="7" r="Q249"/>
      <c s="7" r="R249">
        <f>IF((P249&gt;0),O249,0)</f>
        <v>0</v>
      </c>
      <c t="str" r="S249">
        <f>CONCATENATE(F249,E249)</f>
        <v>Brighton &amp; HoveBrighton &amp; Hove</v>
      </c>
    </row>
    <row r="250">
      <c t="s" s="7" r="A250">
        <v>58</v>
      </c>
      <c s="7" r="B250">
        <v>295</v>
      </c>
      <c s="7" r="C250">
        <v>8</v>
      </c>
      <c t="s" s="7" r="D250">
        <v>126</v>
      </c>
      <c t="s" s="7" r="E250">
        <v>59</v>
      </c>
      <c t="s" s="7" r="F250">
        <v>59</v>
      </c>
      <c t="s" s="7" r="G250">
        <v>59</v>
      </c>
      <c t="str" s="65" r="H250">
        <f>HYPERLINK("http://sofifa.com/en/fifa13winter/player/146690-andrew-crofts","A. Crofts")</f>
        <v>A. Crofts</v>
      </c>
      <c s="7" r="I250">
        <v>68</v>
      </c>
      <c t="s" s="7" r="J250">
        <v>124</v>
      </c>
      <c t="s" s="7" r="K250">
        <v>139</v>
      </c>
      <c t="s" s="7" r="L250">
        <v>119</v>
      </c>
      <c s="7" r="M250">
        <v>28</v>
      </c>
      <c s="26" r="N250">
        <v>1.4</v>
      </c>
      <c s="23" r="O250">
        <v>0.006</v>
      </c>
      <c s="7" r="P250"/>
      <c s="7" r="Q250"/>
      <c s="7" r="R250">
        <f>IF((P250&gt;0),O250,0)</f>
        <v>0</v>
      </c>
      <c t="str" r="S250">
        <f>CONCATENATE(F250,E250)</f>
        <v>Brighton &amp; HoveBrighton &amp; Hove</v>
      </c>
    </row>
    <row r="251">
      <c t="s" s="68" r="A251">
        <v>58</v>
      </c>
      <c s="68" r="B251">
        <v>296</v>
      </c>
      <c s="68" r="C251">
        <v>30</v>
      </c>
      <c t="s" s="68" r="D251">
        <v>157</v>
      </c>
      <c t="s" s="68" r="E251">
        <v>59</v>
      </c>
      <c t="s" s="68" r="F251">
        <v>59</v>
      </c>
      <c t="s" s="68" r="G251">
        <v>59</v>
      </c>
      <c t="str" s="39" r="H251">
        <f>HYPERLINK("http://sofifa.com/en/fifa13winter/player/148692-will-buckley","W. Buckley")</f>
        <v>W. Buckley</v>
      </c>
      <c s="68" r="I251">
        <v>71</v>
      </c>
      <c t="s" s="68" r="J251">
        <v>157</v>
      </c>
      <c t="s" s="68" r="K251">
        <v>110</v>
      </c>
      <c t="s" s="68" r="L251">
        <v>108</v>
      </c>
      <c s="68" r="M251">
        <v>22</v>
      </c>
      <c s="2" r="N251">
        <v>2.6</v>
      </c>
      <c s="31" r="O251">
        <v>0.007</v>
      </c>
      <c s="68" r="P251"/>
      <c t="s" s="68" r="Q251">
        <v>190</v>
      </c>
      <c s="68" r="R251">
        <f>IF((P251&gt;0),O251,0)</f>
        <v>0</v>
      </c>
      <c t="str" s="81" r="S251">
        <f>CONCATENATE(F251,E251)</f>
        <v>Brighton &amp; HoveBrighton &amp; Hove</v>
      </c>
    </row>
    <row r="252">
      <c t="s" s="7" r="A252">
        <v>58</v>
      </c>
      <c s="7" r="B252">
        <v>297</v>
      </c>
      <c s="7" r="C252">
        <v>19</v>
      </c>
      <c t="s" s="7" r="D252">
        <v>129</v>
      </c>
      <c t="s" s="7" r="E252">
        <v>59</v>
      </c>
      <c t="s" s="7" r="F252">
        <v>59</v>
      </c>
      <c t="s" s="7" r="G252">
        <v>59</v>
      </c>
      <c t="str" s="65" r="H252">
        <f>HYPERLINK("http://sofifa.com/en/fifa13winter/player/147478-leonardo-ulloa","L. Ulloa")</f>
        <v>L. Ulloa</v>
      </c>
      <c s="7" r="I252">
        <v>72</v>
      </c>
      <c t="s" s="7" r="J252">
        <v>129</v>
      </c>
      <c t="s" s="7" r="K252">
        <v>132</v>
      </c>
      <c t="s" s="7" r="L252">
        <v>153</v>
      </c>
      <c s="7" r="M252">
        <v>26</v>
      </c>
      <c s="26" r="N252">
        <v>3.1</v>
      </c>
      <c s="23" r="O252">
        <v>0.009</v>
      </c>
      <c s="7" r="P252"/>
      <c s="7" r="Q252"/>
      <c s="7" r="R252">
        <f>IF((P252&gt;0),O252,0)</f>
        <v>0</v>
      </c>
      <c t="str" r="S252">
        <f>CONCATENATE(F252,E252)</f>
        <v>Brighton &amp; HoveBrighton &amp; Hove</v>
      </c>
    </row>
    <row r="253">
      <c t="s" s="7" r="A253">
        <v>58</v>
      </c>
      <c s="7" r="B253">
        <v>298</v>
      </c>
      <c s="7" r="C253">
        <v>11</v>
      </c>
      <c t="s" s="7" r="D253">
        <v>170</v>
      </c>
      <c t="s" s="7" r="E253">
        <v>59</v>
      </c>
      <c t="s" s="7" r="F253">
        <v>59</v>
      </c>
      <c t="s" s="7" r="G253">
        <v>59</v>
      </c>
      <c t="str" s="65" r="H253">
        <f>HYPERLINK("http://sofifa.com/en/fifa13winter/player/146756-andrea-orlandi-stabilin","Andrea Orlandi")</f>
        <v>Andrea Orlandi</v>
      </c>
      <c s="7" r="I253">
        <v>68</v>
      </c>
      <c t="s" s="7" r="J253">
        <v>124</v>
      </c>
      <c t="s" s="7" r="K253">
        <v>114</v>
      </c>
      <c t="s" s="7" r="L253">
        <v>161</v>
      </c>
      <c s="7" r="M253">
        <v>28</v>
      </c>
      <c s="26" r="N253">
        <v>1.4</v>
      </c>
      <c s="23" r="O253">
        <v>0.006</v>
      </c>
      <c s="7" r="P253"/>
      <c s="7" r="Q253"/>
      <c s="7" r="R253">
        <f>IF((P253&gt;0),O253,0)</f>
        <v>0</v>
      </c>
      <c t="str" r="S253">
        <f>CONCATENATE(F253,E253)</f>
        <v>Brighton &amp; HoveBrighton &amp; Hove</v>
      </c>
    </row>
    <row r="254">
      <c t="s" s="7" r="A254">
        <v>58</v>
      </c>
      <c s="7" r="B254">
        <v>299</v>
      </c>
      <c s="7" r="C254">
        <v>33</v>
      </c>
      <c t="s" s="7" r="D254">
        <v>136</v>
      </c>
      <c t="s" s="7" r="E254">
        <v>59</v>
      </c>
      <c t="s" s="7" r="F254">
        <v>59</v>
      </c>
      <c t="s" s="7" r="G254">
        <v>59</v>
      </c>
      <c t="str" s="65" r="H254">
        <f>HYPERLINK("http://sofifa.com/en/fifa13winter/player/149366-george-barker","G. Barker")</f>
        <v>G. Barker</v>
      </c>
      <c s="7" r="I254">
        <v>53</v>
      </c>
      <c t="s" s="7" r="J254">
        <v>129</v>
      </c>
      <c t="s" s="7" r="K254">
        <v>187</v>
      </c>
      <c t="s" s="7" r="L254">
        <v>142</v>
      </c>
      <c s="7" r="M254">
        <v>20</v>
      </c>
      <c s="26" r="N254">
        <v>0.1</v>
      </c>
      <c s="23" r="O254">
        <v>0.002</v>
      </c>
      <c s="7" r="P254"/>
      <c s="7" r="Q254"/>
      <c s="7" r="R254">
        <f>IF((P254&gt;0),O254,0)</f>
        <v>0</v>
      </c>
      <c t="str" r="S254">
        <f>CONCATENATE(F254,E254)</f>
        <v>Brighton &amp; HoveBrighton &amp; Hove</v>
      </c>
    </row>
    <row r="255">
      <c t="s" s="7" r="A255">
        <v>58</v>
      </c>
      <c s="7" r="B255">
        <v>300</v>
      </c>
      <c s="7" r="C255">
        <v>35</v>
      </c>
      <c t="s" s="7" r="D255">
        <v>136</v>
      </c>
      <c t="s" s="7" r="E255">
        <v>59</v>
      </c>
      <c t="s" s="7" r="F255">
        <v>59</v>
      </c>
      <c t="s" s="7" r="G255">
        <v>59</v>
      </c>
      <c t="str" s="65" r="H255">
        <f>HYPERLINK("http://sofifa.com/en/fifa13winter/player/150308-jake-forster-caskey","J. Forster-Caskey")</f>
        <v>J. Forster-Caskey</v>
      </c>
      <c s="7" r="I255">
        <v>59</v>
      </c>
      <c t="s" s="7" r="J255">
        <v>124</v>
      </c>
      <c t="s" s="7" r="K255">
        <v>118</v>
      </c>
      <c t="s" s="7" r="L255">
        <v>141</v>
      </c>
      <c s="7" r="M255">
        <v>18</v>
      </c>
      <c s="26" r="N255">
        <v>0.4</v>
      </c>
      <c s="23" r="O255">
        <v>0.002</v>
      </c>
      <c s="7" r="P255"/>
      <c s="7" r="Q255"/>
      <c s="7" r="R255">
        <f>IF((P255&gt;0),O255,0)</f>
        <v>0</v>
      </c>
      <c t="str" r="S255">
        <f>CONCATENATE(F255,E255)</f>
        <v>Brighton &amp; HoveBrighton &amp; Hove</v>
      </c>
    </row>
    <row r="256">
      <c t="s" s="7" r="A256">
        <v>58</v>
      </c>
      <c s="7" r="B256">
        <v>301</v>
      </c>
      <c s="7" r="C256">
        <v>50</v>
      </c>
      <c t="s" s="7" r="D256">
        <v>136</v>
      </c>
      <c t="s" s="7" r="E256">
        <v>59</v>
      </c>
      <c t="s" s="7" r="F256">
        <v>59</v>
      </c>
      <c t="s" s="7" r="G256">
        <v>59</v>
      </c>
      <c t="str" s="65" r="H256">
        <f>HYPERLINK("http://sofifa.com/en/fifa13winter/player/149775-rohan-ince","R. Ince")</f>
        <v>R. Ince</v>
      </c>
      <c s="7" r="I256">
        <v>58</v>
      </c>
      <c t="s" s="7" r="J256">
        <v>113</v>
      </c>
      <c t="s" s="7" r="K256">
        <v>107</v>
      </c>
      <c t="s" s="7" r="L256">
        <v>153</v>
      </c>
      <c s="7" r="M256">
        <v>19</v>
      </c>
      <c s="26" r="N256">
        <v>0.3</v>
      </c>
      <c s="23" r="O256">
        <v>0.002</v>
      </c>
      <c s="7" r="P256"/>
      <c s="7" r="Q256"/>
      <c s="7" r="R256">
        <f>IF((P256&gt;0),O256,0)</f>
        <v>0</v>
      </c>
      <c t="str" r="S256">
        <f>CONCATENATE(F256,E256)</f>
        <v>Brighton &amp; HoveBrighton &amp; Hove</v>
      </c>
    </row>
    <row r="257">
      <c t="s" s="7" r="A257">
        <v>58</v>
      </c>
      <c s="7" r="B257">
        <v>302</v>
      </c>
      <c s="7" r="C257">
        <v>46</v>
      </c>
      <c t="s" s="7" r="D257">
        <v>136</v>
      </c>
      <c t="s" s="7" r="E257">
        <v>59</v>
      </c>
      <c t="s" s="7" r="F257">
        <v>59</v>
      </c>
      <c t="s" s="7" r="G257">
        <v>59</v>
      </c>
      <c t="str" s="65" r="H257">
        <f>HYPERLINK("http://sofifa.com/en/fifa13winter/player/150408-shamir-goodwin","S. Goodwin")</f>
        <v>S. Goodwin</v>
      </c>
      <c s="7" r="I257">
        <v>53</v>
      </c>
      <c t="s" s="7" r="J257">
        <v>129</v>
      </c>
      <c t="s" s="7" r="K257">
        <v>173</v>
      </c>
      <c t="s" s="7" r="L257">
        <v>153</v>
      </c>
      <c s="7" r="M257">
        <v>18</v>
      </c>
      <c s="26" r="N257">
        <v>0.1</v>
      </c>
      <c s="23" r="O257">
        <v>0.002</v>
      </c>
      <c s="7" r="P257"/>
      <c s="7" r="Q257"/>
      <c s="7" r="R257">
        <f>IF((P257&gt;0),O257,0)</f>
        <v>0</v>
      </c>
      <c t="str" r="S257">
        <f>CONCATENATE(F257,E257)</f>
        <v>Brighton &amp; HoveBrighton &amp; Hove</v>
      </c>
    </row>
    <row r="258">
      <c t="s" s="7" r="A258">
        <v>58</v>
      </c>
      <c s="7" r="B258">
        <v>303</v>
      </c>
      <c s="7" r="C258">
        <v>9</v>
      </c>
      <c t="s" s="7" r="D258">
        <v>136</v>
      </c>
      <c t="s" s="7" r="E258">
        <v>59</v>
      </c>
      <c t="s" s="7" r="F258">
        <v>59</v>
      </c>
      <c t="s" s="7" r="G258">
        <v>59</v>
      </c>
      <c t="str" s="65" r="H258">
        <f>HYPERLINK("http://sofifa.com/en/fifa13winter/player/148670-ashley-barnes","A. Barnes")</f>
        <v>A. Barnes</v>
      </c>
      <c s="7" r="I258">
        <v>66</v>
      </c>
      <c t="s" s="7" r="J258">
        <v>171</v>
      </c>
      <c t="s" s="7" r="K258">
        <v>110</v>
      </c>
      <c t="s" s="7" r="L258">
        <v>142</v>
      </c>
      <c s="7" r="M258">
        <v>22</v>
      </c>
      <c s="26" r="N258">
        <v>1.5</v>
      </c>
      <c s="23" r="O258">
        <v>0.005</v>
      </c>
      <c s="7" r="P258"/>
      <c s="7" r="Q258"/>
      <c s="7" r="R258">
        <f>IF((P258&gt;0),O258,0)</f>
        <v>0</v>
      </c>
      <c t="str" r="S258">
        <f>CONCATENATE(F258,E258)</f>
        <v>Brighton &amp; HoveBrighton &amp; Hove</v>
      </c>
    </row>
    <row r="259">
      <c t="s" s="7" r="A259">
        <v>58</v>
      </c>
      <c s="7" r="B259">
        <v>304</v>
      </c>
      <c s="7" r="C259">
        <v>25</v>
      </c>
      <c t="s" s="7" r="D259">
        <v>136</v>
      </c>
      <c t="s" s="7" r="E259">
        <v>59</v>
      </c>
      <c t="s" s="7" r="F259">
        <v>59</v>
      </c>
      <c t="s" s="7" r="G259">
        <v>59</v>
      </c>
      <c t="str" s="65" r="H259">
        <f>HYPERLINK("http://sofifa.com/en/fifa13winter/player/149076-kazenga-lualua","K. LuaLua")</f>
        <v>K. LuaLua</v>
      </c>
      <c s="7" r="I259">
        <v>70</v>
      </c>
      <c t="s" s="7" r="J259">
        <v>170</v>
      </c>
      <c t="s" s="7" r="K259">
        <v>114</v>
      </c>
      <c t="s" s="7" r="L259">
        <v>137</v>
      </c>
      <c s="7" r="M259">
        <v>21</v>
      </c>
      <c s="26" r="N259">
        <v>2.3</v>
      </c>
      <c s="23" r="O259">
        <v>0.006</v>
      </c>
      <c s="7" r="P259"/>
      <c s="7" r="Q259"/>
      <c s="7" r="R259">
        <f>IF((P259&gt;0),O259,0)</f>
        <v>0</v>
      </c>
      <c t="str" r="S259">
        <f>CONCATENATE(F259,E259)</f>
        <v>Brighton &amp; HoveBrighton &amp; Hove</v>
      </c>
    </row>
    <row r="260">
      <c t="s" s="7" r="A260">
        <v>58</v>
      </c>
      <c s="7" r="B260">
        <v>305</v>
      </c>
      <c s="7" r="C260">
        <v>16</v>
      </c>
      <c t="s" s="7" r="D260">
        <v>136</v>
      </c>
      <c t="s" s="7" r="E260">
        <v>59</v>
      </c>
      <c t="s" s="7" r="F260">
        <v>59</v>
      </c>
      <c t="s" s="7" r="G260">
        <v>59</v>
      </c>
      <c t="str" s="65" r="H260">
        <f>HYPERLINK("http://sofifa.com/en/fifa13winter/player/145027-casper-ankergren","C. Ankergren")</f>
        <v>C. Ankergren</v>
      </c>
      <c s="7" r="I260">
        <v>65</v>
      </c>
      <c t="s" s="7" r="J260">
        <v>106</v>
      </c>
      <c t="s" s="7" r="K260">
        <v>144</v>
      </c>
      <c t="s" s="7" r="L260">
        <v>135</v>
      </c>
      <c s="7" r="M260">
        <v>32</v>
      </c>
      <c s="26" r="N260">
        <v>0.6</v>
      </c>
      <c s="23" r="O260">
        <v>0.006</v>
      </c>
      <c s="7" r="P260"/>
      <c s="7" r="Q260"/>
      <c s="7" r="R260">
        <f>IF((P260&gt;0),O260,0)</f>
        <v>0</v>
      </c>
      <c t="str" r="S260">
        <f>CONCATENATE(F260,E260)</f>
        <v>Brighton &amp; HoveBrighton &amp; Hove</v>
      </c>
    </row>
    <row r="261">
      <c t="s" s="7" r="A261">
        <v>58</v>
      </c>
      <c s="7" r="B261">
        <v>306</v>
      </c>
      <c s="7" r="C261">
        <v>12</v>
      </c>
      <c t="s" s="7" r="D261">
        <v>136</v>
      </c>
      <c t="s" s="7" r="E261">
        <v>59</v>
      </c>
      <c t="s" s="7" r="F261">
        <v>59</v>
      </c>
      <c t="s" s="7" r="G261">
        <v>59</v>
      </c>
      <c t="str" s="65" r="H261">
        <f>HYPERLINK("http://sofifa.com/en/fifa13winter/player/146596-craig-mackail-smith","C. Mackail-Smith")</f>
        <v>C. Mackail-Smith</v>
      </c>
      <c s="7" r="I261">
        <v>71</v>
      </c>
      <c t="s" s="7" r="J261">
        <v>129</v>
      </c>
      <c t="s" s="7" r="K261">
        <v>118</v>
      </c>
      <c t="s" s="7" r="L261">
        <v>138</v>
      </c>
      <c s="7" r="M261">
        <v>28</v>
      </c>
      <c s="26" r="N261">
        <v>2.5</v>
      </c>
      <c s="23" r="O261">
        <v>0.008</v>
      </c>
      <c s="7" r="P261"/>
      <c s="7" r="Q261"/>
      <c s="7" r="R261">
        <f>IF((P261&gt;0),O261,0)</f>
        <v>0</v>
      </c>
      <c t="str" r="S261">
        <f>CONCATENATE(F261,E261)</f>
        <v>Brighton &amp; HoveBrighton &amp; Hove</v>
      </c>
    </row>
    <row r="262">
      <c t="s" s="7" r="A262">
        <v>58</v>
      </c>
      <c s="7" r="B262">
        <v>307</v>
      </c>
      <c s="7" r="C262">
        <v>7</v>
      </c>
      <c t="s" s="7" r="D262">
        <v>136</v>
      </c>
      <c t="s" s="7" r="E262">
        <v>59</v>
      </c>
      <c t="s" s="7" r="F262">
        <v>59</v>
      </c>
      <c t="s" s="7" r="G262">
        <v>59</v>
      </c>
      <c t="str" s="65" r="H262">
        <f>HYPERLINK("http://sofifa.com/en/fifa13winter/player/147397-will-hoskins","W. Hoskins")</f>
        <v>W. Hoskins</v>
      </c>
      <c s="7" r="I262">
        <v>66</v>
      </c>
      <c t="s" s="7" r="J262">
        <v>129</v>
      </c>
      <c t="s" s="7" r="K262">
        <v>118</v>
      </c>
      <c t="s" s="7" r="L262">
        <v>161</v>
      </c>
      <c s="7" r="M262">
        <v>26</v>
      </c>
      <c s="26" r="N262">
        <v>1.4</v>
      </c>
      <c s="23" r="O262">
        <v>0.005</v>
      </c>
      <c s="7" r="P262"/>
      <c s="7" r="Q262"/>
      <c s="7" r="R262">
        <f>IF((P262&gt;0),O262,0)</f>
        <v>0</v>
      </c>
      <c t="str" r="S262">
        <f>CONCATENATE(F262,E262)</f>
        <v>Brighton &amp; HoveBrighton &amp; Hove</v>
      </c>
    </row>
    <row r="263">
      <c t="s" s="7" r="A263">
        <v>58</v>
      </c>
      <c s="7" r="B263">
        <v>308</v>
      </c>
      <c s="7" r="C263">
        <v>6</v>
      </c>
      <c t="s" s="7" r="D263">
        <v>136</v>
      </c>
      <c t="s" s="7" r="E263">
        <v>59</v>
      </c>
      <c t="s" s="7" r="F263">
        <v>59</v>
      </c>
      <c t="s" s="7" r="G263">
        <v>59</v>
      </c>
      <c t="str" s="65" r="H263">
        <f>HYPERLINK("http://sofifa.com/en/fifa13winter/player/146795-adam-el-abd","A. El-Abd")</f>
        <v>A. El-Abd</v>
      </c>
      <c s="7" r="I263">
        <v>65</v>
      </c>
      <c t="s" s="7" r="J263">
        <v>113</v>
      </c>
      <c t="s" s="7" r="K263">
        <v>114</v>
      </c>
      <c t="s" s="7" r="L263">
        <v>179</v>
      </c>
      <c s="7" r="M263">
        <v>27</v>
      </c>
      <c s="26" r="N263">
        <v>0.9</v>
      </c>
      <c s="23" r="O263">
        <v>0.005</v>
      </c>
      <c s="7" r="P263"/>
      <c s="7" r="Q263"/>
      <c s="7" r="R263">
        <f>IF((P263&gt;0),O263,0)</f>
        <v>0</v>
      </c>
      <c t="str" r="S263">
        <f>CONCATENATE(F263,E263)</f>
        <v>Brighton &amp; HoveBrighton &amp; Hove</v>
      </c>
    </row>
    <row r="264">
      <c t="s" s="7" r="A264">
        <v>58</v>
      </c>
      <c s="7" r="B264">
        <v>309</v>
      </c>
      <c s="7" r="C264">
        <v>17</v>
      </c>
      <c t="s" s="7" r="D264">
        <v>136</v>
      </c>
      <c t="s" s="7" r="E264">
        <v>59</v>
      </c>
      <c t="s" s="7" r="F264">
        <v>59</v>
      </c>
      <c t="s" s="7" r="G264">
        <v>59</v>
      </c>
      <c t="str" s="65" r="H264">
        <f>HYPERLINK("http://sofifa.com/en/fifa13winter/player/146928-ryan-harley","R. Harley")</f>
        <v>R. Harley</v>
      </c>
      <c s="7" r="I264">
        <v>65</v>
      </c>
      <c t="s" s="7" r="J264">
        <v>124</v>
      </c>
      <c t="s" s="7" r="K264">
        <v>139</v>
      </c>
      <c t="s" s="7" r="L264">
        <v>122</v>
      </c>
      <c s="7" r="M264">
        <v>27</v>
      </c>
      <c s="26" r="N264">
        <v>0.9</v>
      </c>
      <c s="23" r="O264">
        <v>0.005</v>
      </c>
      <c s="7" r="P264"/>
      <c s="7" r="Q264"/>
      <c s="7" r="R264">
        <f>IF((P264&gt;0),O264,0)</f>
        <v>0</v>
      </c>
      <c t="str" r="S264">
        <f>CONCATENATE(F264,E264)</f>
        <v>Brighton &amp; HoveBrighton &amp; Hove</v>
      </c>
    </row>
    <row r="265">
      <c t="s" s="7" r="A265">
        <v>58</v>
      </c>
      <c s="7" r="B265">
        <v>310</v>
      </c>
      <c s="7" r="C265">
        <v>1</v>
      </c>
      <c t="s" s="7" r="D265">
        <v>136</v>
      </c>
      <c t="s" s="7" r="E265">
        <v>59</v>
      </c>
      <c t="s" s="7" r="F265">
        <v>59</v>
      </c>
      <c t="s" s="7" r="G265">
        <v>59</v>
      </c>
      <c t="str" s="65" r="H265">
        <f>HYPERLINK("http://sofifa.com/en/fifa13winter/player/145057-peter-brezovan","P. Brezovan")</f>
        <v>P. Brezovan</v>
      </c>
      <c s="7" r="I265">
        <v>64</v>
      </c>
      <c t="s" s="7" r="J265">
        <v>106</v>
      </c>
      <c t="s" s="7" r="K265">
        <v>196</v>
      </c>
      <c t="s" s="7" r="L265">
        <v>194</v>
      </c>
      <c s="7" r="M265">
        <v>32</v>
      </c>
      <c s="26" r="N265">
        <v>0.5</v>
      </c>
      <c s="23" r="O265">
        <v>0.005</v>
      </c>
      <c s="7" r="P265"/>
      <c s="7" r="Q265"/>
      <c s="7" r="R265">
        <f>IF((P265&gt;0),O265,0)</f>
        <v>0</v>
      </c>
      <c t="str" r="S265">
        <f>CONCATENATE(F265,E265)</f>
        <v>Brighton &amp; HoveBrighton &amp; Hove</v>
      </c>
    </row>
    <row r="266">
      <c t="s" s="7" r="A266">
        <v>58</v>
      </c>
      <c s="7" r="B266">
        <v>311</v>
      </c>
      <c s="7" r="C266">
        <v>23</v>
      </c>
      <c t="s" s="7" r="D266">
        <v>147</v>
      </c>
      <c t="s" s="7" r="E266">
        <v>59</v>
      </c>
      <c t="s" s="7" r="F266">
        <v>59</v>
      </c>
      <c t="s" s="7" r="G266">
        <v>59</v>
      </c>
      <c t="str" s="65" r="H266">
        <f>HYPERLINK("http://sofifa.com/en/fifa13winter/player/149430-torbjorn-agdestein","T. Agdestein")</f>
        <v>T. Agdestein</v>
      </c>
      <c s="7" r="I266">
        <v>59</v>
      </c>
      <c t="s" s="7" r="J266">
        <v>129</v>
      </c>
      <c t="s" s="7" r="K266">
        <v>132</v>
      </c>
      <c t="s" s="7" r="L266">
        <v>183</v>
      </c>
      <c s="7" r="M266">
        <v>20</v>
      </c>
      <c s="26" r="N266">
        <v>0.5</v>
      </c>
      <c s="23" r="O266">
        <v>0.002</v>
      </c>
      <c s="7" r="P266"/>
      <c s="7" r="Q266"/>
      <c s="7" r="R266">
        <f>IF((P266&gt;0),O266,0)</f>
        <v>0</v>
      </c>
      <c t="str" r="S266">
        <f>CONCATENATE(F266,E266)</f>
        <v>Brighton &amp; HoveBrighton &amp; Hove</v>
      </c>
    </row>
    <row r="267">
      <c t="s" s="7" r="A267">
        <v>58</v>
      </c>
      <c s="7" r="B267">
        <v>312</v>
      </c>
      <c s="7" r="C267">
        <v>53</v>
      </c>
      <c t="s" s="7" r="D267">
        <v>147</v>
      </c>
      <c t="s" s="7" r="E267">
        <v>59</v>
      </c>
      <c t="s" s="7" r="F267">
        <v>59</v>
      </c>
      <c t="s" s="7" r="G267">
        <v>59</v>
      </c>
      <c t="str" s="65" r="H267">
        <f>HYPERLINK("http://sofifa.com/en/fifa13winter/player/150871-christian-walton","C. Walton")</f>
        <v>C. Walton</v>
      </c>
      <c s="7" r="I267">
        <v>43</v>
      </c>
      <c t="s" s="7" r="J267">
        <v>106</v>
      </c>
      <c t="s" s="7" r="K267">
        <v>143</v>
      </c>
      <c t="s" s="7" r="L267">
        <v>151</v>
      </c>
      <c s="7" r="M267">
        <v>16</v>
      </c>
      <c s="26" r="N267">
        <v>0.1</v>
      </c>
      <c s="23" r="O267">
        <v>0.001</v>
      </c>
      <c s="7" r="P267"/>
      <c s="7" r="Q267"/>
      <c s="7" r="R267">
        <f>IF((P267&gt;0),O267,0)</f>
        <v>0</v>
      </c>
      <c t="str" r="S267">
        <f>CONCATENATE(F267,E267)</f>
        <v>Brighton &amp; HoveBrighton &amp; Hove</v>
      </c>
    </row>
    <row r="268">
      <c t="s" s="7" r="A268">
        <v>58</v>
      </c>
      <c s="7" r="B268">
        <v>313</v>
      </c>
      <c s="7" r="C268">
        <v>37</v>
      </c>
      <c t="s" s="7" r="D268">
        <v>147</v>
      </c>
      <c t="s" s="7" r="E268">
        <v>59</v>
      </c>
      <c t="s" s="7" r="F268">
        <v>59</v>
      </c>
      <c t="s" s="7" r="G268">
        <v>59</v>
      </c>
      <c t="str" s="65" r="H268">
        <f>HYPERLINK("http://sofifa.com/en/fifa13winter/player/150398-solomon-march","S. March")</f>
        <v>S. March</v>
      </c>
      <c s="7" r="I268">
        <v>54</v>
      </c>
      <c t="s" s="7" r="J268">
        <v>128</v>
      </c>
      <c t="s" s="7" r="K268">
        <v>118</v>
      </c>
      <c t="s" s="7" r="L268">
        <v>163</v>
      </c>
      <c s="7" r="M268">
        <v>18</v>
      </c>
      <c s="26" r="N268">
        <v>0.1</v>
      </c>
      <c s="23" r="O268">
        <v>0.002</v>
      </c>
      <c s="7" r="P268"/>
      <c s="7" r="Q268"/>
      <c s="7" r="R268">
        <f>IF((P268&gt;0),O268,0)</f>
        <v>0</v>
      </c>
      <c t="str" r="S268">
        <f>CONCATENATE(F268,E268)</f>
        <v>Brighton &amp; HoveBrighton &amp; Hove</v>
      </c>
    </row>
    <row r="269">
      <c t="s" s="7" r="A269">
        <v>58</v>
      </c>
      <c s="7" r="B269">
        <v>314</v>
      </c>
      <c s="7" r="C269">
        <v>38</v>
      </c>
      <c t="s" s="7" r="D269">
        <v>147</v>
      </c>
      <c t="s" s="7" r="E269">
        <v>59</v>
      </c>
      <c t="s" s="7" r="F269">
        <v>59</v>
      </c>
      <c t="s" s="7" r="G269">
        <v>59</v>
      </c>
      <c t="str" s="65" r="H269">
        <f>HYPERLINK("http://sofifa.com/en/fifa13winter/player/149885-brennan-dickenson","B. Dickenson")</f>
        <v>B. Dickenson</v>
      </c>
      <c s="7" r="I269">
        <v>59</v>
      </c>
      <c t="s" s="7" r="J269">
        <v>128</v>
      </c>
      <c t="s" s="7" r="K269">
        <v>110</v>
      </c>
      <c t="s" s="7" r="L269">
        <v>153</v>
      </c>
      <c s="7" r="M269">
        <v>19</v>
      </c>
      <c s="26" r="N269">
        <v>0.5</v>
      </c>
      <c s="23" r="O269">
        <v>0.002</v>
      </c>
      <c s="7" r="P269"/>
      <c s="7" r="Q269"/>
      <c s="7" r="R269">
        <f>IF((P269&gt;0),O269,0)</f>
        <v>0</v>
      </c>
      <c t="str" r="S269">
        <f>CONCATENATE(F269,E269)</f>
        <v>Brighton &amp; HoveBrighton &amp; Hove</v>
      </c>
    </row>
    <row r="270">
      <c t="s" s="7" r="A270">
        <v>58</v>
      </c>
      <c s="7" r="B270">
        <v>315</v>
      </c>
      <c s="7" r="C270">
        <v>43</v>
      </c>
      <c t="s" s="7" r="D270">
        <v>147</v>
      </c>
      <c t="s" s="7" r="E270">
        <v>59</v>
      </c>
      <c t="s" s="7" r="F270">
        <v>59</v>
      </c>
      <c t="s" s="7" r="G270">
        <v>59</v>
      </c>
      <c t="str" s="65" r="H270">
        <f>HYPERLINK("http://sofifa.com/en/fifa13winter/player/149074-vitalijs-maksimenko","V. Maksimenko")</f>
        <v>V. Maksimenko</v>
      </c>
      <c s="7" r="I270">
        <v>55</v>
      </c>
      <c t="s" s="7" r="J270">
        <v>117</v>
      </c>
      <c t="s" s="7" r="K270">
        <v>173</v>
      </c>
      <c t="s" s="7" r="L270">
        <v>151</v>
      </c>
      <c s="7" r="M270">
        <v>21</v>
      </c>
      <c s="26" r="N270">
        <v>0.1</v>
      </c>
      <c s="23" r="O270">
        <v>0.002</v>
      </c>
      <c s="7" r="P270"/>
      <c s="7" r="Q270"/>
      <c s="7" r="R270">
        <f>IF((P270&gt;0),O270,0)</f>
        <v>0</v>
      </c>
      <c t="str" r="S270">
        <f>CONCATENATE(F270,E270)</f>
        <v>Brighton &amp; HoveBrighton &amp; Hove</v>
      </c>
    </row>
    <row r="271">
      <c t="s" s="7" r="A271">
        <v>68</v>
      </c>
      <c s="7" r="B271">
        <v>2</v>
      </c>
      <c s="7" r="C271">
        <v>2</v>
      </c>
      <c t="s" s="7" r="D271">
        <v>109</v>
      </c>
      <c t="s" s="7" r="E271">
        <v>69</v>
      </c>
      <c t="s" s="7" r="F271">
        <v>69</v>
      </c>
      <c t="s" s="7" r="G271">
        <v>69</v>
      </c>
      <c t="str" s="65" r="H271">
        <f>HYPERLINK("http://sofifa.com/en/fifa13winter/player/148922-rafael-pereira-da-silva","Rafael")</f>
        <v>Rafael</v>
      </c>
      <c s="7" r="I271">
        <v>78</v>
      </c>
      <c t="s" s="7" r="J271">
        <v>109</v>
      </c>
      <c t="s" s="7" r="K271">
        <v>187</v>
      </c>
      <c t="s" s="7" r="L271">
        <v>161</v>
      </c>
      <c s="7" r="M271">
        <v>22</v>
      </c>
      <c s="26" r="N271">
        <v>6.5</v>
      </c>
      <c s="23" r="O271">
        <v>0.017</v>
      </c>
      <c s="7" r="P271"/>
      <c s="7" r="Q271"/>
      <c s="7" r="R271">
        <f>IF((P271&gt;0),O271,0)</f>
        <v>0</v>
      </c>
      <c t="str" r="S271">
        <f>CONCATENATE(F271,E271)</f>
        <v>Manchester UnitedManchester United</v>
      </c>
    </row>
    <row r="272">
      <c t="s" s="7" r="A272">
        <v>68</v>
      </c>
      <c s="7" r="B272">
        <v>8</v>
      </c>
      <c s="7" r="C272">
        <v>4</v>
      </c>
      <c t="s" s="7" r="D272">
        <v>126</v>
      </c>
      <c t="s" s="7" r="E272">
        <v>69</v>
      </c>
      <c t="s" s="7" r="F272">
        <v>69</v>
      </c>
      <c t="s" s="7" r="G272">
        <v>69</v>
      </c>
      <c t="str" s="65" r="H272">
        <f>HYPERLINK("http://sofifa.com/en/fifa13winter/player/149514-phil-jones","P. Jones")</f>
        <v>P. Jones</v>
      </c>
      <c s="7" r="I272">
        <v>78</v>
      </c>
      <c t="s" s="7" r="J272">
        <v>109</v>
      </c>
      <c t="s" s="7" r="K272">
        <v>114</v>
      </c>
      <c t="s" s="7" r="L272">
        <v>142</v>
      </c>
      <c s="7" r="M272">
        <v>20</v>
      </c>
      <c s="26" r="N272">
        <v>6.8</v>
      </c>
      <c s="23" r="O272">
        <v>0.016</v>
      </c>
      <c s="7" r="P272"/>
      <c s="7" r="Q272"/>
      <c s="7" r="R272">
        <f>IF((P272&gt;0),O272,0)</f>
        <v>0</v>
      </c>
      <c t="str" r="S272">
        <f>CONCATENATE(F272,E272)</f>
        <v>Manchester UnitedManchester United</v>
      </c>
    </row>
    <row r="273">
      <c t="s" s="7" r="A273">
        <v>68</v>
      </c>
      <c s="7" r="B273">
        <v>9</v>
      </c>
      <c s="7" r="C273">
        <v>11</v>
      </c>
      <c t="s" s="7" r="D273">
        <v>128</v>
      </c>
      <c t="s" s="7" r="E273">
        <v>69</v>
      </c>
      <c t="s" s="7" r="F273">
        <v>69</v>
      </c>
      <c t="s" s="7" r="G273">
        <v>69</v>
      </c>
      <c t="str" s="65" r="H273">
        <f>HYPERLINK("http://sofifa.com/en/fifa13winter/player/142856-ryan-giggs","R. Giggs")</f>
        <v>R. Giggs</v>
      </c>
      <c s="7" r="I273">
        <v>80</v>
      </c>
      <c t="s" s="7" r="J273">
        <v>162</v>
      </c>
      <c t="s" s="7" r="K273">
        <v>145</v>
      </c>
      <c t="s" s="7" r="L273">
        <v>142</v>
      </c>
      <c s="7" r="M273">
        <v>38</v>
      </c>
      <c s="26" r="N273">
        <v>5.2</v>
      </c>
      <c s="23" r="O273">
        <v>0.038</v>
      </c>
      <c s="7" r="P273"/>
      <c s="7" r="Q273"/>
      <c s="7" r="R273">
        <f>IF((P273&gt;0),O273,0)</f>
        <v>0</v>
      </c>
      <c t="str" r="S273">
        <f>CONCATENATE(F273,E273)</f>
        <v>Manchester UnitedManchester United</v>
      </c>
    </row>
    <row r="274">
      <c t="s" s="7" r="A274">
        <v>68</v>
      </c>
      <c s="7" r="B274">
        <v>12</v>
      </c>
      <c s="7" r="C274">
        <v>12</v>
      </c>
      <c t="s" s="7" r="D274">
        <v>136</v>
      </c>
      <c t="s" s="7" r="E274">
        <v>69</v>
      </c>
      <c t="s" s="7" r="F274">
        <v>69</v>
      </c>
      <c t="s" s="7" r="G274">
        <v>69</v>
      </c>
      <c t="str" s="65" r="H274">
        <f>HYPERLINK("http://sofifa.com/en/fifa13winter/player/148693-chris-smalling","C. Smalling")</f>
        <v>C. Smalling</v>
      </c>
      <c s="7" r="I274">
        <v>78</v>
      </c>
      <c t="s" s="7" r="J274">
        <v>113</v>
      </c>
      <c t="s" s="7" r="K274">
        <v>165</v>
      </c>
      <c t="s" s="7" r="L274">
        <v>183</v>
      </c>
      <c s="7" r="M274">
        <v>22</v>
      </c>
      <c s="26" r="N274">
        <v>6.8</v>
      </c>
      <c s="23" r="O274">
        <v>0.017</v>
      </c>
      <c s="7" r="P274"/>
      <c s="7" r="Q274"/>
      <c s="7" r="R274">
        <f>IF((P274&gt;0),O274,0)</f>
        <v>0</v>
      </c>
      <c t="str" r="S274">
        <f>CONCATENATE(F274,E274)</f>
        <v>Manchester UnitedManchester United</v>
      </c>
    </row>
    <row r="275">
      <c t="s" s="7" r="A275">
        <v>68</v>
      </c>
      <c s="7" r="B275">
        <v>14</v>
      </c>
      <c s="7" r="C275">
        <v>28</v>
      </c>
      <c t="s" s="7" r="D275">
        <v>136</v>
      </c>
      <c t="s" s="7" r="E275">
        <v>69</v>
      </c>
      <c t="s" s="7" r="F275">
        <v>69</v>
      </c>
      <c t="s" s="7" r="G275">
        <v>69</v>
      </c>
      <c t="str" s="65" r="H275">
        <f>HYPERLINK("http://sofifa.com/en/fifa13winter/player/148409-alexander-buttner","A. Büttner")</f>
        <v>A. Büttner</v>
      </c>
      <c s="7" r="I275">
        <v>73</v>
      </c>
      <c t="s" s="7" r="J275">
        <v>117</v>
      </c>
      <c t="s" s="7" r="K275">
        <v>182</v>
      </c>
      <c t="s" s="7" r="L275">
        <v>119</v>
      </c>
      <c s="7" r="M275">
        <v>23</v>
      </c>
      <c s="26" r="N275">
        <v>3.1</v>
      </c>
      <c s="23" r="O275">
        <v>0.009</v>
      </c>
      <c s="7" r="P275"/>
      <c s="7" r="Q275"/>
      <c s="7" r="R275">
        <f>IF((P275&gt;0),O275,0)</f>
        <v>0</v>
      </c>
      <c t="str" r="S275">
        <f>CONCATENATE(F275,E275)</f>
        <v>Manchester UnitedManchester United</v>
      </c>
    </row>
    <row r="276">
      <c t="s" s="7" r="A276">
        <v>68</v>
      </c>
      <c s="7" r="B276">
        <v>16</v>
      </c>
      <c s="7" r="C276">
        <v>23</v>
      </c>
      <c t="s" s="7" r="D276">
        <v>136</v>
      </c>
      <c t="s" s="7" r="E276">
        <v>69</v>
      </c>
      <c t="s" s="7" r="F276">
        <v>69</v>
      </c>
      <c t="s" s="7" r="G276">
        <v>69</v>
      </c>
      <c t="str" s="65" r="H276">
        <f>HYPERLINK("http://sofifa.com/en/fifa13winter/player/148591-tom-cleverley","T. Cleverley")</f>
        <v>T. Cleverley</v>
      </c>
      <c s="7" r="I276">
        <v>78</v>
      </c>
      <c t="s" s="7" r="J276">
        <v>162</v>
      </c>
      <c t="s" s="7" r="K276">
        <v>139</v>
      </c>
      <c t="s" s="7" r="L276">
        <v>163</v>
      </c>
      <c s="7" r="M276">
        <v>23</v>
      </c>
      <c s="26" r="N276">
        <v>7.7</v>
      </c>
      <c s="23" r="O276">
        <v>0.018</v>
      </c>
      <c s="7" r="P276"/>
      <c s="7" r="Q276"/>
      <c s="7" r="R276">
        <f>IF((P276&gt;0),O276,0)</f>
        <v>0</v>
      </c>
      <c t="str" r="S276">
        <f>CONCATENATE(F276,E276)</f>
        <v>Manchester UnitedManchester United</v>
      </c>
    </row>
    <row r="277">
      <c t="s" s="7" r="A277">
        <v>68</v>
      </c>
      <c s="7" r="B277">
        <v>18</v>
      </c>
      <c s="7" r="C277">
        <v>13</v>
      </c>
      <c t="s" s="7" r="D277">
        <v>136</v>
      </c>
      <c t="s" s="7" r="E277">
        <v>69</v>
      </c>
      <c t="s" s="7" r="F277">
        <v>69</v>
      </c>
      <c t="s" s="7" r="G277">
        <v>69</v>
      </c>
      <c t="str" s="65" r="H277">
        <f>HYPERLINK("http://sofifa.com/en/fifa13winter/player/146644-anders-lindegaard","A. Lindegaard")</f>
        <v>A. Lindegaard</v>
      </c>
      <c s="7" r="I277">
        <v>78</v>
      </c>
      <c t="s" s="7" r="J277">
        <v>106</v>
      </c>
      <c t="s" s="7" r="K277">
        <v>107</v>
      </c>
      <c t="s" s="7" r="L277">
        <v>153</v>
      </c>
      <c s="7" r="M277">
        <v>28</v>
      </c>
      <c s="26" r="N277">
        <v>5.1</v>
      </c>
      <c s="23" r="O277">
        <v>0.02</v>
      </c>
      <c s="7" r="P277"/>
      <c s="7" r="Q277"/>
      <c s="7" r="R277">
        <f>IF((P277&gt;0),O277,0)</f>
        <v>0</v>
      </c>
      <c t="str" r="S277">
        <f>CONCATENATE(F277,E277)</f>
        <v>Manchester UnitedManchester United</v>
      </c>
    </row>
    <row r="278">
      <c t="s" s="7" r="A278">
        <v>68</v>
      </c>
      <c s="7" r="B278">
        <v>19</v>
      </c>
      <c s="7" r="C278">
        <v>24</v>
      </c>
      <c t="s" s="7" r="D278">
        <v>136</v>
      </c>
      <c t="s" s="7" r="E278">
        <v>69</v>
      </c>
      <c t="s" s="7" r="F278">
        <v>69</v>
      </c>
      <c t="s" s="7" r="G278">
        <v>69</v>
      </c>
      <c t="str" s="65" r="H278">
        <f>HYPERLINK("http://sofifa.com/en/fifa13winter/player/146572-darren-fletcher","D. Fletcher")</f>
        <v>D. Fletcher</v>
      </c>
      <c s="7" r="I278">
        <v>80</v>
      </c>
      <c t="s" s="7" r="J278">
        <v>124</v>
      </c>
      <c t="s" s="7" r="K278">
        <v>167</v>
      </c>
      <c t="s" s="7" r="L278">
        <v>156</v>
      </c>
      <c s="7" r="M278">
        <v>28</v>
      </c>
      <c s="26" r="N278">
        <v>9</v>
      </c>
      <c s="23" r="O278">
        <v>0.031</v>
      </c>
      <c s="7" r="P278"/>
      <c s="7" r="Q278"/>
      <c s="7" r="R278">
        <f>IF((P278&gt;0),O278,0)</f>
        <v>0</v>
      </c>
      <c t="str" r="S278">
        <f>CONCATENATE(F278,E278)</f>
        <v>Manchester UnitedManchester United</v>
      </c>
    </row>
    <row r="279">
      <c t="s" s="7" r="A279">
        <v>68</v>
      </c>
      <c s="7" r="B279">
        <v>22</v>
      </c>
      <c s="7" r="C279">
        <v>8</v>
      </c>
      <c t="s" s="7" r="D279">
        <v>136</v>
      </c>
      <c t="s" s="7" r="E279">
        <v>69</v>
      </c>
      <c t="s" s="7" r="F279">
        <v>69</v>
      </c>
      <c t="s" s="7" r="G279">
        <v>69</v>
      </c>
      <c t="str" s="65" r="H279">
        <f>HYPERLINK("http://sofifa.com/en/fifa13winter/player/148105-anderson-luis-de-abreu-oliveira","Anderson")</f>
        <v>Anderson</v>
      </c>
      <c s="7" r="I279">
        <v>77</v>
      </c>
      <c t="s" s="7" r="J279">
        <v>124</v>
      </c>
      <c t="s" s="7" r="K279">
        <v>172</v>
      </c>
      <c t="s" s="7" r="L279">
        <v>163</v>
      </c>
      <c s="7" r="M279">
        <v>24</v>
      </c>
      <c s="26" r="N279">
        <v>5.7</v>
      </c>
      <c s="23" r="O279">
        <v>0.017</v>
      </c>
      <c s="7" r="P279"/>
      <c s="7" r="Q279"/>
      <c s="7" r="R279">
        <f>IF((P279&gt;0),O279,0)</f>
        <v>0</v>
      </c>
      <c t="str" r="S279">
        <f>CONCATENATE(F279,E279)</f>
        <v>Manchester UnitedManchester United</v>
      </c>
    </row>
    <row r="280">
      <c t="s" s="7" r="A280">
        <v>68</v>
      </c>
      <c s="7" r="B280">
        <v>23</v>
      </c>
      <c s="7" r="C280">
        <v>6</v>
      </c>
      <c t="s" s="7" r="D280">
        <v>136</v>
      </c>
      <c t="s" s="7" r="E280">
        <v>69</v>
      </c>
      <c t="s" s="7" r="F280">
        <v>69</v>
      </c>
      <c t="s" s="7" r="G280">
        <v>69</v>
      </c>
      <c t="str" s="65" r="H280">
        <f>HYPERLINK("http://sofifa.com/en/fifa13winter/player/148003-jonny-evans","J. Evans")</f>
        <v>J. Evans</v>
      </c>
      <c s="7" r="I280">
        <v>79</v>
      </c>
      <c t="s" s="7" r="J280">
        <v>113</v>
      </c>
      <c t="s" s="7" r="K280">
        <v>134</v>
      </c>
      <c t="s" s="7" r="L280">
        <v>193</v>
      </c>
      <c s="7" r="M280">
        <v>24</v>
      </c>
      <c s="26" r="N280">
        <v>7.3</v>
      </c>
      <c s="23" r="O280">
        <v>0.022</v>
      </c>
      <c s="7" r="P280"/>
      <c s="7" r="Q280"/>
      <c s="7" r="R280">
        <f>IF((P280&gt;0),O280,0)</f>
        <v>0</v>
      </c>
      <c t="str" r="S280">
        <f>CONCATENATE(F280,E280)</f>
        <v>Manchester UnitedManchester United</v>
      </c>
    </row>
    <row r="281">
      <c t="s" s="7" r="A281">
        <v>68</v>
      </c>
      <c s="7" r="B281">
        <v>24</v>
      </c>
      <c s="7" r="C281">
        <v>44</v>
      </c>
      <c t="s" s="7" r="D281">
        <v>147</v>
      </c>
      <c t="s" s="7" r="E281">
        <v>69</v>
      </c>
      <c t="s" s="7" r="F281">
        <v>69</v>
      </c>
      <c t="s" s="7" r="G281">
        <v>69</v>
      </c>
      <c t="str" s="65" r="H281">
        <f>HYPERLINK("http://sofifa.com/en/fifa13winter/player/150594-adnan-januzaj","A. Januzaj")</f>
        <v>A. Januzaj</v>
      </c>
      <c s="7" r="I281">
        <v>61</v>
      </c>
      <c t="s" s="7" r="J281">
        <v>120</v>
      </c>
      <c t="s" s="7" r="K281">
        <v>114</v>
      </c>
      <c t="s" s="7" r="L281">
        <v>151</v>
      </c>
      <c s="7" r="M281">
        <v>17</v>
      </c>
      <c s="26" r="N281">
        <v>0.7</v>
      </c>
      <c s="23" r="O281">
        <v>0.003</v>
      </c>
      <c s="7" r="P281"/>
      <c s="7" r="Q281"/>
      <c s="7" r="R281">
        <f>IF((P281&gt;0),O281,0)</f>
        <v>0</v>
      </c>
      <c t="str" r="S281">
        <f>CONCATENATE(F281,E281)</f>
        <v>Manchester UnitedManchester United</v>
      </c>
    </row>
    <row r="282">
      <c t="s" s="7" r="A282">
        <v>68</v>
      </c>
      <c s="7" r="B282">
        <v>25</v>
      </c>
      <c s="7" r="C282">
        <v>36</v>
      </c>
      <c t="s" s="7" r="D282">
        <v>147</v>
      </c>
      <c t="s" s="7" r="E282">
        <v>69</v>
      </c>
      <c t="s" s="7" r="F282">
        <v>69</v>
      </c>
      <c t="s" s="7" r="G282">
        <v>69</v>
      </c>
      <c t="str" s="65" r="H282">
        <f>HYPERLINK("http://sofifa.com/en/fifa13winter/player/149475-marnick-vermijl","M. Vermijl")</f>
        <v>M. Vermijl</v>
      </c>
      <c s="7" r="I282">
        <v>62</v>
      </c>
      <c t="s" s="7" r="J282">
        <v>109</v>
      </c>
      <c t="s" s="7" r="K282">
        <v>114</v>
      </c>
      <c t="s" s="7" r="L282">
        <v>137</v>
      </c>
      <c s="7" r="M282">
        <v>20</v>
      </c>
      <c s="26" r="N282">
        <v>0.7</v>
      </c>
      <c s="23" r="O282">
        <v>0.003</v>
      </c>
      <c s="7" r="P282"/>
      <c s="7" r="Q282"/>
      <c s="7" r="R282">
        <f>IF((P282&gt;0),O282,0)</f>
        <v>0</v>
      </c>
      <c t="str" r="S282">
        <f>CONCATENATE(F282,E282)</f>
        <v>Manchester UnitedManchester United</v>
      </c>
    </row>
    <row r="283">
      <c t="s" s="7" r="A283">
        <v>68</v>
      </c>
      <c s="7" r="B283">
        <v>26</v>
      </c>
      <c s="7" r="C283">
        <v>34</v>
      </c>
      <c t="s" s="7" r="D283">
        <v>147</v>
      </c>
      <c t="s" s="7" r="E283">
        <v>69</v>
      </c>
      <c t="s" s="7" r="F283">
        <v>69</v>
      </c>
      <c t="s" s="7" r="G283">
        <v>69</v>
      </c>
      <c t="str" s="65" r="H283">
        <f>HYPERLINK("http://sofifa.com/en/fifa13winter/player/149896-larnell-cole","L. Cole")</f>
        <v>L. Cole</v>
      </c>
      <c s="7" r="I283">
        <v>60</v>
      </c>
      <c t="s" s="7" r="J283">
        <v>162</v>
      </c>
      <c t="s" s="7" r="K283">
        <v>187</v>
      </c>
      <c t="s" s="7" r="L283">
        <v>115</v>
      </c>
      <c s="7" r="M283">
        <v>19</v>
      </c>
      <c s="26" r="N283">
        <v>0.6</v>
      </c>
      <c s="23" r="O283">
        <v>0.003</v>
      </c>
      <c s="7" r="P283"/>
      <c s="7" r="Q283"/>
      <c s="7" r="R283">
        <f>IF((P283&gt;0),O283,0)</f>
        <v>0</v>
      </c>
      <c t="str" r="S283">
        <f>CONCATENATE(F283,E283)</f>
        <v>Manchester UnitedManchester United</v>
      </c>
    </row>
    <row r="284">
      <c t="s" s="7" r="A284">
        <v>68</v>
      </c>
      <c s="7" r="B284">
        <v>27</v>
      </c>
      <c s="7" r="C284">
        <v>31</v>
      </c>
      <c t="s" s="7" r="D284">
        <v>147</v>
      </c>
      <c t="s" s="7" r="E284">
        <v>69</v>
      </c>
      <c t="s" s="7" r="F284">
        <v>69</v>
      </c>
      <c t="s" s="7" r="G284">
        <v>69</v>
      </c>
      <c t="str" s="65" r="H284">
        <f>HYPERLINK("http://sofifa.com/en/fifa13winter/player/149352-scott-wootton","S. Wootton")</f>
        <v>S. Wootton</v>
      </c>
      <c s="7" r="I284">
        <v>64</v>
      </c>
      <c t="s" s="7" r="J284">
        <v>113</v>
      </c>
      <c t="s" s="7" r="K284">
        <v>134</v>
      </c>
      <c t="s" s="7" r="L284">
        <v>161</v>
      </c>
      <c s="7" r="M284">
        <v>20</v>
      </c>
      <c s="26" r="N284">
        <v>1</v>
      </c>
      <c s="23" r="O284">
        <v>0.004</v>
      </c>
      <c s="7" r="P284"/>
      <c s="7" r="Q284"/>
      <c s="7" r="R284">
        <f>IF((P284&gt;0),O284,0)</f>
        <v>0</v>
      </c>
      <c t="str" r="S284">
        <f>CONCATENATE(F284,E284)</f>
        <v>Manchester UnitedManchester United</v>
      </c>
    </row>
    <row r="285">
      <c t="s" s="7" r="A285">
        <v>68</v>
      </c>
      <c s="7" r="B285">
        <v>28</v>
      </c>
      <c s="7" r="C285">
        <v>48</v>
      </c>
      <c t="s" s="7" r="D285">
        <v>147</v>
      </c>
      <c t="s" s="7" r="E285">
        <v>69</v>
      </c>
      <c t="s" s="7" r="F285">
        <v>69</v>
      </c>
      <c t="s" s="7" r="G285">
        <v>69</v>
      </c>
      <c t="str" s="65" r="H285">
        <f>HYPERLINK("http://sofifa.com/en/fifa13winter/player/149839-will-keane","W. Keane")</f>
        <v>W. Keane</v>
      </c>
      <c s="7" r="I285">
        <v>59</v>
      </c>
      <c t="s" s="7" r="J285">
        <v>129</v>
      </c>
      <c t="s" s="7" r="K285">
        <v>155</v>
      </c>
      <c t="s" s="7" r="L285">
        <v>146</v>
      </c>
      <c s="7" r="M285">
        <v>19</v>
      </c>
      <c s="26" r="N285">
        <v>0.5</v>
      </c>
      <c s="23" r="O285">
        <v>0.002</v>
      </c>
      <c s="7" r="P285"/>
      <c s="7" r="Q285"/>
      <c s="7" r="R285">
        <f>IF((P285&gt;0),O285,0)</f>
        <v>0</v>
      </c>
      <c t="str" r="S285">
        <f>CONCATENATE(F285,E285)</f>
        <v>Manchester UnitedManchester United</v>
      </c>
    </row>
    <row r="286">
      <c t="s" s="7" r="A286">
        <v>68</v>
      </c>
      <c s="7" r="B286">
        <v>29</v>
      </c>
      <c s="7" r="C286">
        <v>25</v>
      </c>
      <c t="s" s="7" r="D286">
        <v>147</v>
      </c>
      <c t="s" s="7" r="E286">
        <v>69</v>
      </c>
      <c t="s" s="7" r="F286">
        <v>69</v>
      </c>
      <c t="s" s="7" r="G286">
        <v>69</v>
      </c>
      <c t="str" s="65" r="H286">
        <f>HYPERLINK("http://sofifa.com/en/fifa13winter/player/150275-nick-powell","N. Powell")</f>
        <v>N. Powell</v>
      </c>
      <c s="7" r="I286">
        <v>66</v>
      </c>
      <c t="s" s="7" r="J286">
        <v>162</v>
      </c>
      <c t="s" s="7" r="K286">
        <v>110</v>
      </c>
      <c t="s" s="7" r="L286">
        <v>149</v>
      </c>
      <c s="7" r="M286">
        <v>18</v>
      </c>
      <c s="26" r="N286">
        <v>1.6</v>
      </c>
      <c s="23" r="O286">
        <v>0.004</v>
      </c>
      <c s="7" r="P286"/>
      <c s="7" r="Q286"/>
      <c s="7" r="R286">
        <f>IF((P286&gt;0),O286,0)</f>
        <v>0</v>
      </c>
      <c t="str" r="S286">
        <f>CONCATENATE(F286,E286)</f>
        <v>Manchester UnitedManchester United</v>
      </c>
    </row>
    <row r="287">
      <c t="s" s="7" r="A287">
        <v>68</v>
      </c>
      <c s="7" r="B287">
        <v>30</v>
      </c>
      <c s="7" r="C287">
        <v>32</v>
      </c>
      <c t="s" s="7" r="D287">
        <v>147</v>
      </c>
      <c t="s" s="7" r="E287">
        <v>69</v>
      </c>
      <c t="s" s="7" r="F287">
        <v>69</v>
      </c>
      <c t="s" s="7" r="G287">
        <v>69</v>
      </c>
      <c t="str" s="65" r="H287">
        <f>HYPERLINK("http://sofifa.com/en/fifa13winter/player/149777-wilfried-zaha","W. Zaha")</f>
        <v>W. Zaha</v>
      </c>
      <c s="7" r="I287">
        <v>74</v>
      </c>
      <c t="s" s="7" r="J287">
        <v>157</v>
      </c>
      <c t="s" s="7" r="K287">
        <v>114</v>
      </c>
      <c t="s" s="7" r="L287">
        <v>125</v>
      </c>
      <c s="7" r="M287">
        <v>19</v>
      </c>
      <c s="26" r="N287">
        <v>4.2</v>
      </c>
      <c s="23" r="O287">
        <v>0.009</v>
      </c>
      <c s="7" r="P287"/>
      <c s="7" r="Q287"/>
      <c s="7" r="R287">
        <f>IF((P287&gt;0),O287,0)</f>
        <v>0</v>
      </c>
      <c t="str" r="S287">
        <f>CONCATENATE(F287,E287)</f>
        <v>Manchester UnitedManchester United</v>
      </c>
    </row>
    <row r="288">
      <c t="s" s="7" r="A288">
        <v>68</v>
      </c>
      <c s="7" r="B288">
        <v>31</v>
      </c>
      <c s="7" r="C288">
        <v>40</v>
      </c>
      <c t="s" s="7" r="D288">
        <v>147</v>
      </c>
      <c t="s" s="7" r="E288">
        <v>69</v>
      </c>
      <c t="s" s="7" r="F288">
        <v>69</v>
      </c>
      <c t="s" s="7" r="G288">
        <v>69</v>
      </c>
      <c t="str" s="65" r="H288">
        <f>HYPERLINK("http://sofifa.com/en/fifa13winter/player/148832-ben-amos","B. Amos")</f>
        <v>B. Amos</v>
      </c>
      <c s="7" r="I288">
        <v>66</v>
      </c>
      <c t="s" s="7" r="J288">
        <v>106</v>
      </c>
      <c t="s" s="7" r="K288">
        <v>107</v>
      </c>
      <c t="s" s="7" r="L288">
        <v>137</v>
      </c>
      <c s="7" r="M288">
        <v>22</v>
      </c>
      <c s="26" r="N288">
        <v>1</v>
      </c>
      <c s="23" r="O288">
        <v>0.005</v>
      </c>
      <c s="7" r="P288"/>
      <c s="7" r="Q288"/>
      <c s="7" r="R288">
        <f>IF((P288&gt;0),O288,0)</f>
        <v>0</v>
      </c>
      <c t="str" r="S288">
        <f>CONCATENATE(F288,E288)</f>
        <v>Manchester UnitedManchester United</v>
      </c>
    </row>
    <row r="289">
      <c t="s" s="7" r="A289">
        <v>68</v>
      </c>
      <c s="7" r="B289">
        <v>32</v>
      </c>
      <c s="7" r="C289">
        <v>33</v>
      </c>
      <c t="s" s="7" r="D289">
        <v>147</v>
      </c>
      <c t="s" s="7" r="E289">
        <v>69</v>
      </c>
      <c t="s" s="7" r="F289">
        <v>69</v>
      </c>
      <c t="s" s="7" r="G289">
        <v>69</v>
      </c>
      <c t="str" s="65" r="H289">
        <f>HYPERLINK("http://sofifa.com/en/fifa13winter/player/148922-fabio-pereira-da-silva","Fábio")</f>
        <v>Fábio</v>
      </c>
      <c s="7" r="I289">
        <v>75</v>
      </c>
      <c t="s" s="7" r="J289">
        <v>117</v>
      </c>
      <c t="s" s="7" r="K289">
        <v>187</v>
      </c>
      <c t="s" s="7" r="L289">
        <v>111</v>
      </c>
      <c s="7" r="M289">
        <v>22</v>
      </c>
      <c s="26" r="N289">
        <v>4.2</v>
      </c>
      <c s="23" r="O289">
        <v>0.012</v>
      </c>
      <c s="7" r="P289"/>
      <c s="7" r="Q289"/>
      <c s="7" r="R289">
        <f>IF((P289&gt;0),O289,0)</f>
        <v>0</v>
      </c>
      <c t="str" r="S289">
        <f>CONCATENATE(F289,E289)</f>
        <v>Manchester UnitedManchester United</v>
      </c>
    </row>
    <row r="290">
      <c t="s" s="7" r="A290">
        <v>68</v>
      </c>
      <c s="7" r="B290">
        <v>33</v>
      </c>
      <c s="7" r="C290">
        <v>21</v>
      </c>
      <c t="s" s="7" r="D290">
        <v>147</v>
      </c>
      <c t="s" s="7" r="E290">
        <v>69</v>
      </c>
      <c t="s" s="7" r="F290">
        <v>69</v>
      </c>
      <c t="s" s="7" r="G290">
        <v>69</v>
      </c>
      <c t="str" s="65" r="H290">
        <f>HYPERLINK("http://sofifa.com/en/fifa13winter/player/150296-angelo-henriquez","A. Henríquez")</f>
        <v>A. Henríquez</v>
      </c>
      <c s="7" r="I290">
        <v>72</v>
      </c>
      <c t="s" s="7" r="J290">
        <v>129</v>
      </c>
      <c t="s" s="7" r="K290">
        <v>114</v>
      </c>
      <c t="s" s="7" r="L290">
        <v>138</v>
      </c>
      <c s="7" r="M290">
        <v>18</v>
      </c>
      <c s="26" r="N290">
        <v>3.6</v>
      </c>
      <c s="23" r="O290">
        <v>0.007</v>
      </c>
      <c s="7" r="P290"/>
      <c s="7" r="Q290"/>
      <c s="7" r="R290">
        <f>IF((P290&gt;0),O290,0)</f>
        <v>0</v>
      </c>
      <c t="str" r="S290">
        <f>CONCATENATE(F290,E290)</f>
        <v>Manchester UnitedManchester United</v>
      </c>
    </row>
    <row r="291">
      <c t="s" s="7" r="A291">
        <v>83</v>
      </c>
      <c s="7" r="B291">
        <v>200</v>
      </c>
      <c s="7" r="C291">
        <v>22</v>
      </c>
      <c t="s" s="7" r="D291">
        <v>109</v>
      </c>
      <c t="s" s="7" r="E291">
        <v>84</v>
      </c>
      <c t="s" s="7" r="F291">
        <v>84</v>
      </c>
      <c t="s" s="7" r="G291">
        <v>84</v>
      </c>
      <c t="str" s="65" r="H291">
        <f>HYPERLINK("http://sofifa.com/en/fifa13winter/player/146111-angel-rangel-zaragoza","Àngel Rangel")</f>
        <v>Àngel Rangel</v>
      </c>
      <c s="7" r="I291">
        <v>76</v>
      </c>
      <c t="s" s="7" r="J291">
        <v>109</v>
      </c>
      <c t="s" s="7" r="K291">
        <v>173</v>
      </c>
      <c t="s" s="7" r="L291">
        <v>179</v>
      </c>
      <c s="7" r="M291">
        <v>29</v>
      </c>
      <c s="26" r="N291">
        <v>4.1</v>
      </c>
      <c s="23" r="O291">
        <v>0.016</v>
      </c>
      <c s="7" r="P291"/>
      <c s="7" r="Q291"/>
      <c s="7" r="R291">
        <f>IF((P291&gt;0),O291,0)</f>
        <v>0</v>
      </c>
      <c t="str" r="S291">
        <f>CONCATENATE(F291,E291)</f>
        <v>SwanseaSwansea</v>
      </c>
    </row>
    <row r="292">
      <c t="s" s="7" r="A292">
        <v>83</v>
      </c>
      <c s="7" r="B292">
        <v>201</v>
      </c>
      <c s="7" r="C292">
        <v>4</v>
      </c>
      <c t="s" s="7" r="D292">
        <v>112</v>
      </c>
      <c t="s" s="7" r="E292">
        <v>84</v>
      </c>
      <c t="s" s="7" r="F292">
        <v>84</v>
      </c>
      <c t="s" s="7" r="G292">
        <v>84</v>
      </c>
      <c t="str" s="65" r="H292">
        <f>HYPERLINK("http://sofifa.com/en/fifa13winter/player/147701-jose-manuel-flores-moreno","Chico")</f>
        <v>Chico</v>
      </c>
      <c s="7" r="I292">
        <v>75</v>
      </c>
      <c t="s" s="7" r="J292">
        <v>113</v>
      </c>
      <c t="s" s="7" r="K292">
        <v>155</v>
      </c>
      <c t="s" s="7" r="L292">
        <v>151</v>
      </c>
      <c s="7" r="M292">
        <v>25</v>
      </c>
      <c s="26" r="N292">
        <v>4.1</v>
      </c>
      <c s="23" r="O292">
        <v>0.013</v>
      </c>
      <c s="7" r="P292"/>
      <c s="7" r="Q292"/>
      <c s="7" r="R292">
        <f>IF((P292&gt;0),O292,0)</f>
        <v>0</v>
      </c>
      <c t="str" r="S292">
        <f>CONCATENATE(F292,E292)</f>
        <v>SwanseaSwansea</v>
      </c>
    </row>
    <row r="293">
      <c t="s" s="7" r="A293">
        <v>83</v>
      </c>
      <c s="7" r="B293">
        <v>203</v>
      </c>
      <c s="7" r="C293">
        <v>33</v>
      </c>
      <c t="s" s="7" r="D293">
        <v>117</v>
      </c>
      <c t="s" s="7" r="E293">
        <v>84</v>
      </c>
      <c t="s" s="7" r="F293">
        <v>84</v>
      </c>
      <c t="s" s="7" r="G293">
        <v>84</v>
      </c>
      <c t="str" s="65" r="H293">
        <f>HYPERLINK("http://sofifa.com/en/fifa13winter/player/149942-ben-davies","B. Davies")</f>
        <v>B. Davies</v>
      </c>
      <c s="7" r="I293">
        <v>67</v>
      </c>
      <c t="s" s="7" r="J293">
        <v>117</v>
      </c>
      <c t="s" s="7" r="K293">
        <v>121</v>
      </c>
      <c t="s" s="7" r="L293">
        <v>137</v>
      </c>
      <c s="7" r="M293">
        <v>19</v>
      </c>
      <c s="26" r="N293">
        <v>1.4</v>
      </c>
      <c s="23" r="O293">
        <v>0.004</v>
      </c>
      <c s="7" r="P293"/>
      <c s="7" r="Q293"/>
      <c s="7" r="R293">
        <f>IF((P293&gt;0),O293,0)</f>
        <v>0</v>
      </c>
      <c t="str" r="S293">
        <f>CONCATENATE(F293,E293)</f>
        <v>SwanseaSwansea</v>
      </c>
    </row>
    <row r="294">
      <c t="s" s="7" r="A294">
        <v>83</v>
      </c>
      <c s="7" r="B294">
        <v>204</v>
      </c>
      <c s="7" r="C294">
        <v>24</v>
      </c>
      <c t="s" s="7" r="D294">
        <v>186</v>
      </c>
      <c t="s" s="7" r="E294">
        <v>84</v>
      </c>
      <c t="s" s="7" r="F294">
        <v>84</v>
      </c>
      <c t="s" s="7" r="G294">
        <v>84</v>
      </c>
      <c t="str" s="65" r="H294">
        <f>HYPERLINK("http://sofifa.com/en/fifa13winter/player/148391-sung-yueng-ki","S. Ki")</f>
        <v>S. Ki</v>
      </c>
      <c s="7" r="I294">
        <v>74</v>
      </c>
      <c t="s" s="7" r="J294">
        <v>124</v>
      </c>
      <c t="s" s="7" r="K294">
        <v>134</v>
      </c>
      <c t="s" s="7" r="L294">
        <v>151</v>
      </c>
      <c s="7" r="M294">
        <v>23</v>
      </c>
      <c s="26" r="N294">
        <v>3.5</v>
      </c>
      <c s="23" r="O294">
        <v>0.01</v>
      </c>
      <c s="7" r="P294"/>
      <c s="7" r="Q294"/>
      <c s="7" r="R294">
        <f>IF((P294&gt;0),O294,0)</f>
        <v>0</v>
      </c>
      <c t="str" r="S294">
        <f>CONCATENATE(F294,E294)</f>
        <v>SwanseaSwansea</v>
      </c>
    </row>
    <row r="295">
      <c t="s" s="7" r="A295">
        <v>83</v>
      </c>
      <c s="7" r="B295">
        <v>205</v>
      </c>
      <c s="7" r="C295">
        <v>7</v>
      </c>
      <c t="s" s="7" r="D295">
        <v>174</v>
      </c>
      <c t="s" s="7" r="E295">
        <v>84</v>
      </c>
      <c t="s" s="7" r="F295">
        <v>84</v>
      </c>
      <c t="s" s="7" r="G295">
        <v>84</v>
      </c>
      <c t="str" s="65" r="H295">
        <f>HYPERLINK("http://sofifa.com/en/fifa13winter/player/146069-leon-britton","L. Britton")</f>
        <v>L. Britton</v>
      </c>
      <c s="7" r="I295">
        <v>75</v>
      </c>
      <c t="s" s="7" r="J295">
        <v>154</v>
      </c>
      <c t="s" s="7" r="K295">
        <v>197</v>
      </c>
      <c t="s" s="7" r="L295">
        <v>141</v>
      </c>
      <c s="7" r="M295">
        <v>29</v>
      </c>
      <c s="26" r="N295">
        <v>3.5</v>
      </c>
      <c s="23" r="O295">
        <v>0.014</v>
      </c>
      <c s="7" r="P295"/>
      <c s="7" r="Q295"/>
      <c s="7" r="R295">
        <f>IF((P295&gt;0),O295,0)</f>
        <v>0</v>
      </c>
      <c t="str" r="S295">
        <f>CONCATENATE(F295,E295)</f>
        <v>SwanseaSwansea</v>
      </c>
    </row>
    <row r="296">
      <c t="s" s="7" r="A296">
        <v>83</v>
      </c>
      <c s="7" r="B296">
        <v>208</v>
      </c>
      <c s="7" r="C296">
        <v>15</v>
      </c>
      <c t="s" s="7" r="D296">
        <v>162</v>
      </c>
      <c t="s" s="7" r="E296">
        <v>84</v>
      </c>
      <c t="s" s="7" r="F296">
        <v>84</v>
      </c>
      <c t="s" s="7" r="G296">
        <v>84</v>
      </c>
      <c t="str" s="65" r="H296">
        <f>HYPERLINK("http://sofifa.com/en/fifa13winter/player/146913-wayne-routledge","W. Routledge")</f>
        <v>W. Routledge</v>
      </c>
      <c s="7" r="I296">
        <v>74</v>
      </c>
      <c t="s" s="7" r="J296">
        <v>170</v>
      </c>
      <c t="s" s="7" r="K296">
        <v>121</v>
      </c>
      <c t="s" s="7" r="L296">
        <v>141</v>
      </c>
      <c s="7" r="M296">
        <v>27</v>
      </c>
      <c s="26" r="N296">
        <v>3.6</v>
      </c>
      <c s="23" r="O296">
        <v>0.011</v>
      </c>
      <c s="7" r="P296"/>
      <c s="7" r="Q296"/>
      <c s="7" r="R296">
        <f>IF((P296&gt;0),O296,0)</f>
        <v>0</v>
      </c>
      <c t="str" r="S296">
        <f>CONCATENATE(F296,E296)</f>
        <v>SwanseaSwansea</v>
      </c>
    </row>
    <row r="297">
      <c t="s" s="7" r="A297">
        <v>83</v>
      </c>
      <c s="7" r="B297">
        <v>210</v>
      </c>
      <c s="7" r="C297">
        <v>13</v>
      </c>
      <c t="s" s="7" r="D297">
        <v>136</v>
      </c>
      <c t="s" s="7" r="E297">
        <v>84</v>
      </c>
      <c t="s" s="7" r="F297">
        <v>84</v>
      </c>
      <c t="s" s="7" r="G297">
        <v>84</v>
      </c>
      <c t="str" s="65" r="H297">
        <f>HYPERLINK("http://sofifa.com/en/fifa13winter/player/149184-david-cornell","D. Cornell")</f>
        <v>D. Cornell</v>
      </c>
      <c s="7" r="I297">
        <v>58</v>
      </c>
      <c t="s" s="7" r="J297">
        <v>106</v>
      </c>
      <c t="s" s="7" r="K297">
        <v>134</v>
      </c>
      <c t="s" s="7" r="L297">
        <v>158</v>
      </c>
      <c s="7" r="M297">
        <v>21</v>
      </c>
      <c s="26" r="N297">
        <v>0.3</v>
      </c>
      <c s="23" r="O297">
        <v>0.002</v>
      </c>
      <c s="7" r="P297"/>
      <c s="7" r="Q297"/>
      <c s="7" r="R297">
        <f>IF((P297&gt;0),O297,0)</f>
        <v>0</v>
      </c>
      <c t="str" r="S297">
        <f>CONCATENATE(F297,E297)</f>
        <v>SwanseaSwansea</v>
      </c>
    </row>
    <row r="298">
      <c t="s" s="7" r="A298">
        <v>83</v>
      </c>
      <c s="7" r="B298">
        <v>211</v>
      </c>
      <c s="7" r="C298">
        <v>26</v>
      </c>
      <c t="s" s="7" r="D298">
        <v>136</v>
      </c>
      <c t="s" s="7" r="E298">
        <v>84</v>
      </c>
      <c t="s" s="7" r="F298">
        <v>84</v>
      </c>
      <c t="s" s="7" r="G298">
        <v>84</v>
      </c>
      <c t="str" s="65" r="H298">
        <f>HYPERLINK("http://sofifa.com/en/fifa13winter/player/147503-kemy-agustien","K. Agustien")</f>
        <v>K. Agustien</v>
      </c>
      <c s="7" r="I298">
        <v>69</v>
      </c>
      <c t="s" s="7" r="J298">
        <v>124</v>
      </c>
      <c t="s" s="7" r="K298">
        <v>118</v>
      </c>
      <c t="s" s="7" r="L298">
        <v>151</v>
      </c>
      <c s="7" r="M298">
        <v>26</v>
      </c>
      <c s="26" r="N298">
        <v>1.7</v>
      </c>
      <c s="23" r="O298">
        <v>0.007</v>
      </c>
      <c s="7" r="P298"/>
      <c s="7" r="Q298"/>
      <c s="7" r="R298">
        <f>IF((P298&gt;0),O298,0)</f>
        <v>0</v>
      </c>
      <c t="str" r="S298">
        <f>CONCATENATE(F298,E298)</f>
        <v>SwanseaSwansea</v>
      </c>
    </row>
    <row r="299">
      <c t="s" s="7" r="A299">
        <v>83</v>
      </c>
      <c s="7" r="B299">
        <v>212</v>
      </c>
      <c s="7" r="C299">
        <v>25</v>
      </c>
      <c t="s" s="7" r="D299">
        <v>136</v>
      </c>
      <c t="s" s="7" r="E299">
        <v>84</v>
      </c>
      <c t="s" s="7" r="F299">
        <v>84</v>
      </c>
      <c t="s" s="7" r="G299">
        <v>84</v>
      </c>
      <c t="str" s="65" r="H299">
        <f>HYPERLINK("http://sofifa.com/en/fifa13winter/player/144669-gerhard-tremmel","G. Tremmel")</f>
        <v>G. Tremmel</v>
      </c>
      <c s="7" r="I299">
        <v>73</v>
      </c>
      <c t="s" s="7" r="J299">
        <v>106</v>
      </c>
      <c t="s" s="7" r="K299">
        <v>152</v>
      </c>
      <c t="s" s="7" r="L299">
        <v>191</v>
      </c>
      <c s="7" r="M299">
        <v>33</v>
      </c>
      <c s="26" r="N299">
        <v>1.7</v>
      </c>
      <c s="23" r="O299">
        <v>0.012</v>
      </c>
      <c s="7" r="P299"/>
      <c s="7" r="Q299"/>
      <c s="7" r="R299">
        <f>IF((P299&gt;0),O299,0)</f>
        <v>0</v>
      </c>
      <c t="str" r="S299">
        <f>CONCATENATE(F299,E299)</f>
        <v>SwanseaSwansea</v>
      </c>
    </row>
    <row r="300">
      <c t="s" s="7" r="A300">
        <v>83</v>
      </c>
      <c s="7" r="B300">
        <v>213</v>
      </c>
      <c s="7" r="C300">
        <v>2</v>
      </c>
      <c t="s" s="7" r="D300">
        <v>136</v>
      </c>
      <c t="s" s="7" r="E300">
        <v>84</v>
      </c>
      <c t="s" s="7" r="F300">
        <v>84</v>
      </c>
      <c t="s" s="7" r="G300">
        <v>84</v>
      </c>
      <c t="str" s="65" r="H300">
        <f>HYPERLINK("http://sofifa.com/en/fifa13winter/player/149239-kyle-bartley","K. Bartley")</f>
        <v>K. Bartley</v>
      </c>
      <c s="7" r="I300">
        <v>68</v>
      </c>
      <c t="s" s="7" r="J300">
        <v>113</v>
      </c>
      <c t="s" s="7" r="K300">
        <v>114</v>
      </c>
      <c t="s" s="7" r="L300">
        <v>122</v>
      </c>
      <c s="7" r="M300">
        <v>21</v>
      </c>
      <c s="26" r="N300">
        <v>1.7</v>
      </c>
      <c s="23" r="O300">
        <v>0.005</v>
      </c>
      <c s="7" r="P300"/>
      <c s="7" r="Q300"/>
      <c s="7" r="R300">
        <f>IF((P300&gt;0),O300,0)</f>
        <v>0</v>
      </c>
      <c t="str" r="S300">
        <f>CONCATENATE(F300,E300)</f>
        <v>SwanseaSwansea</v>
      </c>
    </row>
    <row r="301">
      <c t="s" s="7" r="A301">
        <v>83</v>
      </c>
      <c s="7" r="B301">
        <v>214</v>
      </c>
      <c s="7" r="C301">
        <v>3</v>
      </c>
      <c t="s" s="7" r="D301">
        <v>136</v>
      </c>
      <c t="s" s="7" r="E301">
        <v>84</v>
      </c>
      <c t="s" s="7" r="F301">
        <v>84</v>
      </c>
      <c t="s" s="7" r="G301">
        <v>84</v>
      </c>
      <c t="str" s="65" r="H301">
        <f>HYPERLINK("http://sofifa.com/en/fifa13winter/player/148405-neil-taylor","N. Taylor")</f>
        <v>N. Taylor</v>
      </c>
      <c s="7" r="I301">
        <v>73</v>
      </c>
      <c t="s" s="7" r="J301">
        <v>117</v>
      </c>
      <c t="s" s="7" r="K301">
        <v>139</v>
      </c>
      <c t="s" s="7" r="L301">
        <v>141</v>
      </c>
      <c s="7" r="M301">
        <v>23</v>
      </c>
      <c s="26" r="N301">
        <v>2.9</v>
      </c>
      <c s="23" r="O301">
        <v>0.009</v>
      </c>
      <c s="7" r="P301"/>
      <c s="7" r="Q301"/>
      <c s="7" r="R301">
        <f>IF((P301&gt;0),O301,0)</f>
        <v>0</v>
      </c>
      <c t="str" r="S301">
        <f>CONCATENATE(F301,E301)</f>
        <v>SwanseaSwansea</v>
      </c>
    </row>
    <row r="302">
      <c t="s" s="7" r="A302">
        <v>83</v>
      </c>
      <c s="7" r="B302">
        <v>215</v>
      </c>
      <c s="7" r="C302">
        <v>21</v>
      </c>
      <c t="s" s="7" r="D302">
        <v>136</v>
      </c>
      <c t="s" s="7" r="E302">
        <v>84</v>
      </c>
      <c t="s" s="7" r="F302">
        <v>84</v>
      </c>
      <c t="s" s="7" r="G302">
        <v>84</v>
      </c>
      <c t="str" s="65" r="H302">
        <f>HYPERLINK("http://sofifa.com/en/fifa13winter/player/147200-dwight-tiendalli","D. Tiendalli")</f>
        <v>D. Tiendalli</v>
      </c>
      <c s="7" r="I302">
        <v>69</v>
      </c>
      <c t="s" s="7" r="J302">
        <v>109</v>
      </c>
      <c t="s" s="7" r="K302">
        <v>114</v>
      </c>
      <c t="s" s="7" r="L302">
        <v>111</v>
      </c>
      <c s="7" r="M302">
        <v>26</v>
      </c>
      <c s="26" r="N302">
        <v>1.6</v>
      </c>
      <c s="23" r="O302">
        <v>0.007</v>
      </c>
      <c s="7" r="P302"/>
      <c s="7" r="Q302"/>
      <c s="7" r="R302">
        <f>IF((P302&gt;0),O302,0)</f>
        <v>0</v>
      </c>
      <c t="str" r="S302">
        <f>CONCATENATE(F302,E302)</f>
        <v>SwanseaSwansea</v>
      </c>
    </row>
    <row r="303">
      <c t="s" s="7" r="A303">
        <v>83</v>
      </c>
      <c s="7" r="B303">
        <v>216</v>
      </c>
      <c s="7" r="C303">
        <v>17</v>
      </c>
      <c t="s" s="7" r="D303">
        <v>136</v>
      </c>
      <c t="s" s="7" r="E303">
        <v>84</v>
      </c>
      <c t="s" s="7" r="F303">
        <v>84</v>
      </c>
      <c t="s" s="7" r="G303">
        <v>84</v>
      </c>
      <c t="str" s="65" r="H303">
        <f>HYPERLINK("http://sofifa.com/en/fifa13winter/player/147689-itay-shechter","I. Shechter")</f>
        <v>I. Shechter</v>
      </c>
      <c s="7" r="I303">
        <v>71</v>
      </c>
      <c t="s" s="7" r="J303">
        <v>129</v>
      </c>
      <c t="s" s="7" r="K303">
        <v>114</v>
      </c>
      <c t="s" s="7" r="L303">
        <v>138</v>
      </c>
      <c s="7" r="M303">
        <v>25</v>
      </c>
      <c s="26" r="N303">
        <v>2.7</v>
      </c>
      <c s="23" r="O303">
        <v>0.008</v>
      </c>
      <c s="7" r="P303"/>
      <c s="7" r="Q303"/>
      <c s="7" r="R303">
        <f>IF((P303&gt;0),O303,0)</f>
        <v>0</v>
      </c>
      <c t="str" r="S303">
        <f>CONCATENATE(F303,E303)</f>
        <v>SwanseaSwansea</v>
      </c>
    </row>
    <row r="304">
      <c t="s" s="7" r="A304">
        <v>83</v>
      </c>
      <c s="7" r="B304">
        <v>218</v>
      </c>
      <c s="7" r="C304">
        <v>18</v>
      </c>
      <c t="s" s="7" r="D304">
        <v>136</v>
      </c>
      <c t="s" s="7" r="E304">
        <v>84</v>
      </c>
      <c t="s" s="7" r="F304">
        <v>84</v>
      </c>
      <c t="s" s="7" r="G304">
        <v>84</v>
      </c>
      <c t="str" s="65" r="H304">
        <f>HYPERLINK("http://sofifa.com/en/fifa13winter/player/146903-leroy-lita","L. Lita")</f>
        <v>L. Lita</v>
      </c>
      <c s="7" r="I304">
        <v>69</v>
      </c>
      <c t="s" s="7" r="J304">
        <v>129</v>
      </c>
      <c t="s" s="7" r="K304">
        <v>172</v>
      </c>
      <c t="s" s="7" r="L304">
        <v>183</v>
      </c>
      <c s="7" r="M304">
        <v>27</v>
      </c>
      <c s="26" r="N304">
        <v>2</v>
      </c>
      <c s="23" r="O304">
        <v>0.007</v>
      </c>
      <c s="7" r="P304"/>
      <c s="7" r="Q304"/>
      <c s="7" r="R304">
        <f>IF((P304&gt;0),O304,0)</f>
        <v>0</v>
      </c>
      <c t="str" r="S304">
        <f>CONCATENATE(F304,E304)</f>
        <v>SwanseaSwansea</v>
      </c>
    </row>
    <row r="305">
      <c t="s" s="7" r="A305">
        <v>83</v>
      </c>
      <c s="7" r="B305">
        <v>219</v>
      </c>
      <c s="7" r="C305">
        <v>19</v>
      </c>
      <c t="s" s="7" r="D305">
        <v>136</v>
      </c>
      <c t="s" s="7" r="E305">
        <v>84</v>
      </c>
      <c t="s" s="7" r="F305">
        <v>84</v>
      </c>
      <c t="s" s="7" r="G305">
        <v>84</v>
      </c>
      <c t="str" s="65" r="H305">
        <f>HYPERLINK("http://sofifa.com/en/fifa13winter/player/147315-luke-moore","L. Moore")</f>
        <v>L. Moore</v>
      </c>
      <c s="7" r="I305">
        <v>69</v>
      </c>
      <c t="s" s="7" r="J305">
        <v>129</v>
      </c>
      <c t="s" s="7" r="K305">
        <v>114</v>
      </c>
      <c t="s" s="7" r="L305">
        <v>137</v>
      </c>
      <c s="7" r="M305">
        <v>26</v>
      </c>
      <c s="26" r="N305">
        <v>2</v>
      </c>
      <c s="23" r="O305">
        <v>0.007</v>
      </c>
      <c s="7" r="P305"/>
      <c s="7" r="Q305"/>
      <c s="7" r="R305">
        <f>IF((P305&gt;0),O305,0)</f>
        <v>0</v>
      </c>
      <c t="str" r="S305">
        <f>CONCATENATE(F305,E305)</f>
        <v>SwanseaSwansea</v>
      </c>
    </row>
    <row r="306">
      <c t="s" s="7" r="A306">
        <v>83</v>
      </c>
      <c s="7" r="B306">
        <v>220</v>
      </c>
      <c s="7" r="C306">
        <v>16</v>
      </c>
      <c t="s" s="7" r="D306">
        <v>136</v>
      </c>
      <c t="s" s="7" r="E306">
        <v>84</v>
      </c>
      <c t="s" s="7" r="F306">
        <v>84</v>
      </c>
      <c t="s" s="7" r="G306">
        <v>84</v>
      </c>
      <c t="str" s="65" r="H306">
        <f>HYPERLINK("http://sofifa.com/en/fifa13winter/player/144779-garry-monk","G. Monk")</f>
        <v>G. Monk</v>
      </c>
      <c s="7" r="I306">
        <v>68</v>
      </c>
      <c t="s" s="7" r="J306">
        <v>113</v>
      </c>
      <c t="s" s="7" r="K306">
        <v>110</v>
      </c>
      <c t="s" s="7" r="L306">
        <v>183</v>
      </c>
      <c s="7" r="M306">
        <v>33</v>
      </c>
      <c s="26" r="N306">
        <v>1.1</v>
      </c>
      <c s="23" r="O306">
        <v>0.007</v>
      </c>
      <c s="7" r="P306"/>
      <c s="7" r="Q306"/>
      <c s="7" r="R306">
        <f>IF((P306&gt;0),O306,0)</f>
        <v>0</v>
      </c>
      <c t="str" r="S306">
        <f>CONCATENATE(F306,E306)</f>
        <v>SwanseaSwansea</v>
      </c>
    </row>
    <row r="307">
      <c t="s" s="7" r="A307">
        <v>83</v>
      </c>
      <c s="7" r="B307">
        <v>221</v>
      </c>
      <c s="7" r="C307">
        <v>5</v>
      </c>
      <c t="s" s="7" r="D307">
        <v>136</v>
      </c>
      <c t="s" s="7" r="E307">
        <v>84</v>
      </c>
      <c t="s" s="7" r="F307">
        <v>84</v>
      </c>
      <c t="s" s="7" r="G307">
        <v>84</v>
      </c>
      <c t="str" s="65" r="H307">
        <f>HYPERLINK("http://sofifa.com/en/fifa13winter/player/146055-alan-tate","A. Tate")</f>
        <v>A. Tate</v>
      </c>
      <c s="7" r="I307">
        <v>67</v>
      </c>
      <c t="s" s="7" r="J307">
        <v>113</v>
      </c>
      <c t="s" s="7" r="K307">
        <v>132</v>
      </c>
      <c t="s" s="7" r="L307">
        <v>179</v>
      </c>
      <c s="7" r="M307">
        <v>29</v>
      </c>
      <c s="26" r="N307">
        <v>1.2</v>
      </c>
      <c s="23" r="O307">
        <v>0.006</v>
      </c>
      <c s="7" r="P307"/>
      <c s="7" r="Q307"/>
      <c s="7" r="R307">
        <f>IF((P307&gt;0),O307,0)</f>
        <v>0</v>
      </c>
      <c t="str" r="S307">
        <f>CONCATENATE(F307,E307)</f>
        <v>SwanseaSwansea</v>
      </c>
    </row>
    <row r="308">
      <c t="s" s="7" r="A308">
        <v>83</v>
      </c>
      <c s="7" r="B308">
        <v>222</v>
      </c>
      <c s="7" r="C308">
        <v>41</v>
      </c>
      <c t="s" s="7" r="D308">
        <v>147</v>
      </c>
      <c t="s" s="7" r="E308">
        <v>84</v>
      </c>
      <c t="s" s="7" r="F308">
        <v>84</v>
      </c>
      <c t="s" s="7" r="G308">
        <v>84</v>
      </c>
      <c t="str" s="65" r="H308">
        <f>HYPERLINK("http://sofifa.com/en/fifa13winter/player/149511-rory-donnelly","R. Donnelly")</f>
        <v>R. Donnelly</v>
      </c>
      <c s="7" r="I308">
        <v>65</v>
      </c>
      <c t="s" s="7" r="J308">
        <v>129</v>
      </c>
      <c t="s" s="7" r="K308">
        <v>134</v>
      </c>
      <c t="s" s="7" r="L308">
        <v>183</v>
      </c>
      <c s="7" r="M308">
        <v>20</v>
      </c>
      <c s="26" r="N308">
        <v>1.3</v>
      </c>
      <c s="23" r="O308">
        <v>0.004</v>
      </c>
      <c s="7" r="P308"/>
      <c s="7" r="Q308"/>
      <c s="7" r="R308">
        <f>IF((P308&gt;0),O308,0)</f>
        <v>0</v>
      </c>
      <c t="str" r="S308">
        <f>CONCATENATE(F308,E308)</f>
        <v>SwanseaSwansea</v>
      </c>
    </row>
    <row r="309">
      <c t="s" s="7" r="A309">
        <v>83</v>
      </c>
      <c s="7" r="B309">
        <v>223</v>
      </c>
      <c s="7" r="C309">
        <v>34</v>
      </c>
      <c t="s" s="7" r="D309">
        <v>147</v>
      </c>
      <c t="s" s="7" r="E309">
        <v>84</v>
      </c>
      <c t="s" s="7" r="F309">
        <v>84</v>
      </c>
      <c t="s" s="7" r="G309">
        <v>84</v>
      </c>
      <c t="str" s="65" r="H309">
        <f>HYPERLINK("http://sofifa.com/en/fifa13winter/player/150089-henry-jones","H. Jones")</f>
        <v>H. Jones</v>
      </c>
      <c s="7" r="I309">
        <v>57</v>
      </c>
      <c t="s" s="7" r="J309">
        <v>124</v>
      </c>
      <c t="s" s="7" r="K309">
        <v>110</v>
      </c>
      <c t="s" s="7" r="L309">
        <v>156</v>
      </c>
      <c s="7" r="M309">
        <v>18</v>
      </c>
      <c s="26" r="N309">
        <v>0.2</v>
      </c>
      <c s="23" r="O309">
        <v>0.002</v>
      </c>
      <c s="7" r="P309"/>
      <c s="7" r="Q309"/>
      <c s="7" r="R309">
        <f>IF((P309&gt;0),O309,0)</f>
        <v>0</v>
      </c>
      <c t="str" r="S309">
        <f>CONCATENATE(F309,E309)</f>
        <v>SwanseaSwansea</v>
      </c>
    </row>
    <row r="310">
      <c t="s" s="7" r="A310">
        <v>83</v>
      </c>
      <c s="7" r="B310">
        <v>224</v>
      </c>
      <c s="7" r="C310">
        <v>37</v>
      </c>
      <c t="s" s="7" r="D310">
        <v>147</v>
      </c>
      <c t="s" s="7" r="E310">
        <v>84</v>
      </c>
      <c t="s" s="7" r="F310">
        <v>84</v>
      </c>
      <c t="s" s="7" r="G310">
        <v>84</v>
      </c>
      <c t="str" s="65" r="H310">
        <f>HYPERLINK("http://sofifa.com/en/fifa13winter/player/150191-scott-tancock","S. Tancock")</f>
        <v>S. Tancock</v>
      </c>
      <c s="7" r="I310">
        <v>57</v>
      </c>
      <c t="s" s="7" r="J310">
        <v>113</v>
      </c>
      <c t="s" s="7" r="K310">
        <v>132</v>
      </c>
      <c t="s" s="7" r="L310">
        <v>151</v>
      </c>
      <c s="7" r="M310">
        <v>18</v>
      </c>
      <c s="26" r="N310">
        <v>0.2</v>
      </c>
      <c s="23" r="O310">
        <v>0.002</v>
      </c>
      <c s="7" r="P310"/>
      <c s="7" r="Q310"/>
      <c s="7" r="R310">
        <f>IF((P310&gt;0),O310,0)</f>
        <v>0</v>
      </c>
      <c t="str" r="S310">
        <f>CONCATENATE(F310,E310)</f>
        <v>SwanseaSwansea</v>
      </c>
    </row>
    <row r="311">
      <c t="s" s="7" r="A311">
        <v>83</v>
      </c>
      <c s="7" r="B311">
        <v>225</v>
      </c>
      <c s="7" r="C311">
        <v>39</v>
      </c>
      <c t="s" s="7" r="D311">
        <v>147</v>
      </c>
      <c t="s" s="7" r="E311">
        <v>84</v>
      </c>
      <c t="s" s="7" r="F311">
        <v>84</v>
      </c>
      <c t="s" s="7" r="G311">
        <v>84</v>
      </c>
      <c t="str" s="65" r="H311">
        <f>HYPERLINK("http://sofifa.com/en/fifa13winter/player/149948-kurtis-march","K. March")</f>
        <v>K. March</v>
      </c>
      <c s="7" r="I311">
        <v>57</v>
      </c>
      <c t="s" s="7" r="J311">
        <v>124</v>
      </c>
      <c t="s" s="7" r="K311">
        <v>139</v>
      </c>
      <c t="s" s="7" r="L311">
        <v>142</v>
      </c>
      <c s="7" r="M311">
        <v>19</v>
      </c>
      <c s="26" r="N311">
        <v>0.2</v>
      </c>
      <c s="23" r="O311">
        <v>0.002</v>
      </c>
      <c s="7" r="P311"/>
      <c s="7" r="Q311"/>
      <c s="7" r="R311">
        <f>IF((P311&gt;0),O311,0)</f>
        <v>0</v>
      </c>
      <c t="str" r="S311">
        <f>CONCATENATE(F311,E311)</f>
        <v>SwanseaSwansea</v>
      </c>
    </row>
    <row r="312">
      <c t="s" s="7" r="A312">
        <v>83</v>
      </c>
      <c s="7" r="B312">
        <v>226</v>
      </c>
      <c s="7" r="C312">
        <v>35</v>
      </c>
      <c t="s" s="7" r="D312">
        <v>147</v>
      </c>
      <c t="s" s="7" r="E312">
        <v>84</v>
      </c>
      <c t="s" s="7" r="F312">
        <v>84</v>
      </c>
      <c t="s" s="7" r="G312">
        <v>84</v>
      </c>
      <c t="str" s="65" r="H312">
        <f>HYPERLINK("http://sofifa.com/en/fifa13winter/player/149516-daniel-alfei","D. Alfei")</f>
        <v>D. Alfei</v>
      </c>
      <c s="7" r="I312">
        <v>57</v>
      </c>
      <c t="s" s="7" r="J312">
        <v>109</v>
      </c>
      <c t="s" s="7" r="K312">
        <v>114</v>
      </c>
      <c t="s" s="7" r="L312">
        <v>138</v>
      </c>
      <c s="7" r="M312">
        <v>20</v>
      </c>
      <c s="26" r="N312">
        <v>0.2</v>
      </c>
      <c s="23" r="O312">
        <v>0.002</v>
      </c>
      <c s="7" r="P312"/>
      <c s="7" r="Q312"/>
      <c s="7" r="R312">
        <f>IF((P312&gt;0),O312,0)</f>
        <v>0</v>
      </c>
      <c t="str" r="S312">
        <f>CONCATENATE(F312,E312)</f>
        <v>SwanseaSwansea</v>
      </c>
    </row>
    <row r="313">
      <c t="s" s="7" r="A313">
        <v>83</v>
      </c>
      <c s="7" r="B313">
        <v>227</v>
      </c>
      <c s="7" r="C313">
        <v>31</v>
      </c>
      <c t="s" s="7" r="D313">
        <v>147</v>
      </c>
      <c t="s" s="7" r="E313">
        <v>84</v>
      </c>
      <c t="s" s="7" r="F313">
        <v>84</v>
      </c>
      <c t="s" s="7" r="G313">
        <v>84</v>
      </c>
      <c t="str" s="65" r="H313">
        <f>HYPERLINK("http://sofifa.com/en/fifa13winter/player/149624-lee-lucas","L. Lucas")</f>
        <v>L. Lucas</v>
      </c>
      <c s="7" r="I313">
        <v>57</v>
      </c>
      <c t="s" s="7" r="J313">
        <v>124</v>
      </c>
      <c t="s" s="7" r="K313">
        <v>118</v>
      </c>
      <c t="s" s="7" r="L313">
        <v>119</v>
      </c>
      <c s="7" r="M313">
        <v>20</v>
      </c>
      <c s="26" r="N313">
        <v>0.2</v>
      </c>
      <c s="23" r="O313">
        <v>0.002</v>
      </c>
      <c s="7" r="P313"/>
      <c s="7" r="Q313"/>
      <c s="7" r="R313">
        <f>IF((P313&gt;0),O313,0)</f>
        <v>0</v>
      </c>
      <c t="str" r="S313">
        <f>CONCATENATE(F313,E313)</f>
        <v>SwanseaSwansea</v>
      </c>
    </row>
    <row r="314">
      <c t="s" s="7" r="A314">
        <v>83</v>
      </c>
      <c s="7" r="B314">
        <v>228</v>
      </c>
      <c s="7" r="C314">
        <v>23</v>
      </c>
      <c t="s" s="7" r="D314">
        <v>147</v>
      </c>
      <c t="s" s="7" r="E314">
        <v>84</v>
      </c>
      <c t="s" s="7" r="F314">
        <v>84</v>
      </c>
      <c t="s" s="7" r="G314">
        <v>84</v>
      </c>
      <c t="str" s="65" r="H314">
        <f>HYPERLINK("http://sofifa.com/en/fifa13winter/player/149540-darnel-situ","D. Situ")</f>
        <v>D. Situ</v>
      </c>
      <c s="7" r="I314">
        <v>61</v>
      </c>
      <c t="s" s="7" r="J314">
        <v>113</v>
      </c>
      <c t="s" s="7" r="K314">
        <v>155</v>
      </c>
      <c t="s" s="7" r="L314">
        <v>138</v>
      </c>
      <c s="7" r="M314">
        <v>20</v>
      </c>
      <c s="26" r="N314">
        <v>0.6</v>
      </c>
      <c s="23" r="O314">
        <v>0.003</v>
      </c>
      <c s="7" r="P314"/>
      <c s="7" r="Q314"/>
      <c s="7" r="R314">
        <f>IF((P314&gt;0),O314,0)</f>
        <v>0</v>
      </c>
      <c t="str" r="S314">
        <f>CONCATENATE(F314,E314)</f>
        <v>SwanseaSwansea</v>
      </c>
    </row>
    <row r="315">
      <c t="s" s="7" r="A315">
        <v>83</v>
      </c>
      <c s="7" r="B315">
        <v>229</v>
      </c>
      <c s="7" r="C315">
        <v>29</v>
      </c>
      <c t="s" s="7" r="D315">
        <v>147</v>
      </c>
      <c t="s" s="7" r="E315">
        <v>84</v>
      </c>
      <c t="s" s="7" r="F315">
        <v>84</v>
      </c>
      <c t="s" s="7" r="G315">
        <v>84</v>
      </c>
      <c t="str" s="65" r="H315">
        <f>HYPERLINK("http://sofifa.com/en/fifa13winter/player/149199-ashley-richards","A. Richards")</f>
        <v>A. Richards</v>
      </c>
      <c s="7" r="I315">
        <v>65</v>
      </c>
      <c t="s" s="7" r="J315">
        <v>109</v>
      </c>
      <c t="s" s="7" r="K315">
        <v>132</v>
      </c>
      <c t="s" s="7" r="L315">
        <v>161</v>
      </c>
      <c s="7" r="M315">
        <v>21</v>
      </c>
      <c s="26" r="N315">
        <v>1</v>
      </c>
      <c s="23" r="O315">
        <v>0.004</v>
      </c>
      <c s="7" r="P315"/>
      <c s="7" r="Q315"/>
      <c s="7" r="R315">
        <f>IF((P315&gt;0),O315,0)</f>
        <v>0</v>
      </c>
      <c t="str" r="S315">
        <f>CONCATENATE(F315,E315)</f>
        <v>SwanseaSwansea</v>
      </c>
    </row>
    <row r="316">
      <c t="s" s="7" r="A316">
        <v>83</v>
      </c>
      <c s="7" r="B316">
        <v>230</v>
      </c>
      <c s="7" r="C316">
        <v>28</v>
      </c>
      <c t="s" s="7" r="D316">
        <v>147</v>
      </c>
      <c t="s" s="7" r="E316">
        <v>84</v>
      </c>
      <c t="s" s="7" r="F316">
        <v>84</v>
      </c>
      <c t="s" s="7" r="G316">
        <v>84</v>
      </c>
      <c t="str" s="65" r="H316">
        <f>HYPERLINK("http://sofifa.com/en/fifa13winter/player/148412-curtis-obeng","C. Obeng")</f>
        <v>C. Obeng</v>
      </c>
      <c s="7" r="I316">
        <v>60</v>
      </c>
      <c t="s" s="7" r="J316">
        <v>109</v>
      </c>
      <c t="s" s="7" r="K316">
        <v>130</v>
      </c>
      <c t="s" s="7" r="L316">
        <v>163</v>
      </c>
      <c s="7" r="M316">
        <v>23</v>
      </c>
      <c s="26" r="N316">
        <v>0.5</v>
      </c>
      <c s="23" r="O316">
        <v>0.003</v>
      </c>
      <c s="7" r="P316"/>
      <c s="7" r="Q316"/>
      <c s="7" r="R316">
        <f>IF((P316&gt;0),O316,0)</f>
        <v>0</v>
      </c>
      <c t="str" r="S316">
        <f>CONCATENATE(F316,E316)</f>
        <v>SwanseaSwansea</v>
      </c>
    </row>
    <row r="317">
      <c t="s" s="7" r="A317">
        <v>83</v>
      </c>
      <c s="7" r="B317">
        <v>231</v>
      </c>
      <c s="7" r="C317">
        <v>30</v>
      </c>
      <c t="s" s="7" r="D317">
        <v>147</v>
      </c>
      <c t="s" s="7" r="E317">
        <v>84</v>
      </c>
      <c t="s" s="7" r="F317">
        <v>84</v>
      </c>
      <c t="s" s="7" r="G317">
        <v>84</v>
      </c>
      <c t="str" s="65" r="H317">
        <f>HYPERLINK("http://sofifa.com/en/fifa13winter/player/150647-josh-sheehan","J. Sheehan")</f>
        <v>J. Sheehan</v>
      </c>
      <c s="7" r="I317">
        <v>57</v>
      </c>
      <c t="s" s="7" r="J317">
        <v>124</v>
      </c>
      <c t="s" s="7" r="K317">
        <v>167</v>
      </c>
      <c t="s" s="7" r="L317">
        <v>151</v>
      </c>
      <c s="7" r="M317">
        <v>17</v>
      </c>
      <c s="26" r="N317">
        <v>0.2</v>
      </c>
      <c s="23" r="O317">
        <v>0.002</v>
      </c>
      <c s="7" r="P317"/>
      <c s="7" r="Q317"/>
      <c s="7" r="R317">
        <f>IF((P317&gt;0),O317,0)</f>
        <v>0</v>
      </c>
      <c t="str" r="S317">
        <f>CONCATENATE(F317,E317)</f>
        <v>SwanseaSwansea</v>
      </c>
    </row>
    <row r="318">
      <c t="s" s="7" r="A318">
        <v>63</v>
      </c>
      <c s="7" r="B318">
        <v>260</v>
      </c>
      <c s="7" r="C318">
        <v>13</v>
      </c>
      <c t="s" s="7" r="D318">
        <v>106</v>
      </c>
      <c t="s" s="7" r="E318">
        <v>64</v>
      </c>
      <c t="s" s="7" r="F318">
        <v>64</v>
      </c>
      <c t="s" s="7" r="G318">
        <v>64</v>
      </c>
      <c t="str" s="65" r="H318">
        <f>HYPERLINK("http://sofifa.com/en/fifa13winter/player/147598-adam-legzdins","A. Legzdins")</f>
        <v>A. Legzdins</v>
      </c>
      <c s="7" r="I318">
        <v>66</v>
      </c>
      <c t="s" s="7" r="J318">
        <v>106</v>
      </c>
      <c t="s" s="7" r="K318">
        <v>107</v>
      </c>
      <c t="s" s="7" r="L318">
        <v>161</v>
      </c>
      <c s="7" r="M318">
        <v>25</v>
      </c>
      <c s="26" r="N318">
        <v>1</v>
      </c>
      <c s="23" r="O318">
        <v>0.005</v>
      </c>
      <c s="7" r="P318"/>
      <c s="7" r="Q318"/>
      <c s="7" r="R318">
        <f>IF((P318&gt;0),O318,0)</f>
        <v>0</v>
      </c>
      <c t="str" r="S318">
        <f>CONCATENATE(F318,E318)</f>
        <v>DerbyDerby</v>
      </c>
    </row>
    <row r="319">
      <c t="s" s="7" r="A319">
        <v>63</v>
      </c>
      <c s="7" r="B319">
        <v>261</v>
      </c>
      <c s="7" r="C319">
        <v>2</v>
      </c>
      <c t="s" s="7" r="D319">
        <v>109</v>
      </c>
      <c t="s" s="7" r="E319">
        <v>64</v>
      </c>
      <c t="s" s="7" r="F319">
        <v>64</v>
      </c>
      <c t="s" s="7" r="G319">
        <v>64</v>
      </c>
      <c t="str" s="65" r="H319">
        <f>HYPERLINK("http://sofifa.com/en/fifa13winter/player/147999-john-brayford","J. Brayford")</f>
        <v>J. Brayford</v>
      </c>
      <c s="7" r="I319">
        <v>70</v>
      </c>
      <c t="s" s="7" r="J319">
        <v>109</v>
      </c>
      <c t="s" s="7" r="K319">
        <v>130</v>
      </c>
      <c t="s" s="7" r="L319">
        <v>142</v>
      </c>
      <c s="7" r="M319">
        <v>24</v>
      </c>
      <c s="26" r="N319">
        <v>1.8</v>
      </c>
      <c s="23" r="O319">
        <v>0.007</v>
      </c>
      <c s="7" r="P319"/>
      <c s="7" r="Q319"/>
      <c s="7" r="R319">
        <f>IF((P319&gt;0),O319,0)</f>
        <v>0</v>
      </c>
      <c t="str" r="S319">
        <f>CONCATENATE(F319,E319)</f>
        <v>DerbyDerby</v>
      </c>
    </row>
    <row r="320">
      <c t="s" s="7" r="A320">
        <v>63</v>
      </c>
      <c s="7" r="B320">
        <v>262</v>
      </c>
      <c s="7" r="C320">
        <v>6</v>
      </c>
      <c t="s" s="7" r="D320">
        <v>112</v>
      </c>
      <c t="s" s="7" r="E320">
        <v>64</v>
      </c>
      <c t="s" s="7" r="F320">
        <v>64</v>
      </c>
      <c t="s" s="7" r="G320">
        <v>64</v>
      </c>
      <c t="str" s="65" r="H320">
        <f>HYPERLINK("http://sofifa.com/en/fifa13winter/player/147494-richard-keogh","R. Keogh")</f>
        <v>R. Keogh</v>
      </c>
      <c s="7" r="I320">
        <v>71</v>
      </c>
      <c t="s" s="7" r="J320">
        <v>113</v>
      </c>
      <c t="s" s="7" r="K320">
        <v>134</v>
      </c>
      <c t="s" s="7" r="L320">
        <v>192</v>
      </c>
      <c s="7" r="M320">
        <v>26</v>
      </c>
      <c s="26" r="N320">
        <v>2.2</v>
      </c>
      <c s="23" r="O320">
        <v>0.008</v>
      </c>
      <c s="7" r="P320"/>
      <c s="7" r="Q320"/>
      <c s="7" r="R320">
        <f>IF((P320&gt;0),O320,0)</f>
        <v>0</v>
      </c>
      <c t="str" r="S320">
        <f>CONCATENATE(F320,E320)</f>
        <v>DerbyDerby</v>
      </c>
    </row>
    <row r="321">
      <c t="s" s="7" r="A321">
        <v>63</v>
      </c>
      <c s="7" r="B321">
        <v>263</v>
      </c>
      <c s="7" r="C321">
        <v>5</v>
      </c>
      <c t="s" s="7" r="D321">
        <v>116</v>
      </c>
      <c t="s" s="7" r="E321">
        <v>64</v>
      </c>
      <c t="s" s="7" r="F321">
        <v>64</v>
      </c>
      <c t="s" s="7" r="G321">
        <v>64</v>
      </c>
      <c t="str" s="65" r="H321">
        <f>HYPERLINK("http://sofifa.com/en/fifa13winter/player/146969-jake-buxton","J. Buxton")</f>
        <v>J. Buxton</v>
      </c>
      <c s="7" r="I321">
        <v>67</v>
      </c>
      <c t="s" s="7" r="J321">
        <v>113</v>
      </c>
      <c t="s" s="7" r="K321">
        <v>114</v>
      </c>
      <c t="s" s="7" r="L321">
        <v>108</v>
      </c>
      <c s="7" r="M321">
        <v>27</v>
      </c>
      <c s="26" r="N321">
        <v>1.3</v>
      </c>
      <c s="23" r="O321">
        <v>0.006</v>
      </c>
      <c s="7" r="P321"/>
      <c s="7" r="Q321"/>
      <c s="7" r="R321">
        <f>IF((P321&gt;0),O321,0)</f>
        <v>0</v>
      </c>
      <c t="str" r="S321">
        <f>CONCATENATE(F321,E321)</f>
        <v>DerbyDerby</v>
      </c>
    </row>
    <row r="322">
      <c t="s" s="7" r="A322">
        <v>63</v>
      </c>
      <c s="7" r="B322">
        <v>264</v>
      </c>
      <c s="7" r="C322">
        <v>22</v>
      </c>
      <c t="s" s="7" r="D322">
        <v>117</v>
      </c>
      <c t="s" s="7" r="E322">
        <v>64</v>
      </c>
      <c t="s" s="7" r="F322">
        <v>64</v>
      </c>
      <c t="s" s="7" r="G322">
        <v>64</v>
      </c>
      <c t="str" s="65" r="H322">
        <f>HYPERLINK("http://sofifa.com/en/fifa13winter/player/150104-michael-hoganson","M. Hoganson")</f>
        <v>M. Hoganson</v>
      </c>
      <c s="7" r="I322">
        <v>60</v>
      </c>
      <c t="s" s="7" r="J322">
        <v>117</v>
      </c>
      <c t="s" s="7" r="K322">
        <v>114</v>
      </c>
      <c t="s" s="7" r="L322">
        <v>115</v>
      </c>
      <c s="7" r="M322">
        <v>18</v>
      </c>
      <c s="26" r="N322">
        <v>0.5</v>
      </c>
      <c s="23" r="O322">
        <v>0.002</v>
      </c>
      <c s="7" r="P322"/>
      <c s="7" r="Q322"/>
      <c s="7" r="R322">
        <f>IF((P322&gt;0),O322,0)</f>
        <v>0</v>
      </c>
      <c t="str" r="S322">
        <f>CONCATENATE(F322,E322)</f>
        <v>DerbyDerby</v>
      </c>
    </row>
    <row r="323">
      <c t="s" s="7" r="A323">
        <v>63</v>
      </c>
      <c s="7" r="B323">
        <v>265</v>
      </c>
      <c s="7" r="C323">
        <v>8</v>
      </c>
      <c t="s" s="7" r="D323">
        <v>154</v>
      </c>
      <c t="s" s="7" r="E323">
        <v>64</v>
      </c>
      <c t="s" s="7" r="F323">
        <v>64</v>
      </c>
      <c t="s" s="7" r="G323">
        <v>64</v>
      </c>
      <c t="str" s="65" r="H323">
        <f>HYPERLINK("http://sofifa.com/en/fifa13winter/player/149493-jeff-hendrick","J. Hendrick")</f>
        <v>J. Hendrick</v>
      </c>
      <c s="7" r="I323">
        <v>69</v>
      </c>
      <c t="s" s="7" r="J323">
        <v>124</v>
      </c>
      <c t="s" s="7" r="K323">
        <v>132</v>
      </c>
      <c t="s" s="7" r="L323">
        <v>158</v>
      </c>
      <c s="7" r="M323">
        <v>20</v>
      </c>
      <c s="26" r="N323">
        <v>1.9</v>
      </c>
      <c s="23" r="O323">
        <v>0.005</v>
      </c>
      <c s="7" r="P323"/>
      <c s="7" r="Q323"/>
      <c s="7" r="R323">
        <f>IF((P323&gt;0),O323,0)</f>
        <v>0</v>
      </c>
      <c t="str" r="S323">
        <f>CONCATENATE(F323,E323)</f>
        <v>DerbyDerby</v>
      </c>
    </row>
    <row r="324">
      <c t="s" s="7" r="A324">
        <v>63</v>
      </c>
      <c s="7" r="B324">
        <v>266</v>
      </c>
      <c s="7" r="C324">
        <v>19</v>
      </c>
      <c t="s" s="7" r="D324">
        <v>120</v>
      </c>
      <c t="s" s="7" r="E324">
        <v>64</v>
      </c>
      <c t="s" s="7" r="F324">
        <v>64</v>
      </c>
      <c t="s" s="7" r="G324">
        <v>64</v>
      </c>
      <c t="str" s="65" r="H324">
        <f>HYPERLINK("http://sofifa.com/en/fifa13winter/player/150665-will-hughes","W. Hughes")</f>
        <v>W. Hughes</v>
      </c>
      <c s="7" r="I324">
        <v>67</v>
      </c>
      <c t="s" s="7" r="J324">
        <v>124</v>
      </c>
      <c t="s" s="7" r="K324">
        <v>132</v>
      </c>
      <c t="s" s="7" r="L324">
        <v>160</v>
      </c>
      <c s="7" r="M324">
        <v>17</v>
      </c>
      <c s="26" r="N324">
        <v>1.6</v>
      </c>
      <c s="23" r="O324">
        <v>0.004</v>
      </c>
      <c s="7" r="P324"/>
      <c s="7" r="Q324"/>
      <c s="7" r="R324">
        <f>IF((P324&gt;0),O324,0)</f>
        <v>0</v>
      </c>
      <c t="str" r="S324">
        <f>CONCATENATE(F324,E324)</f>
        <v>DerbyDerby</v>
      </c>
    </row>
    <row r="325">
      <c t="s" s="7" r="A325">
        <v>63</v>
      </c>
      <c s="7" r="B325">
        <v>267</v>
      </c>
      <c s="7" r="C325">
        <v>12</v>
      </c>
      <c t="s" s="7" r="D325">
        <v>128</v>
      </c>
      <c t="s" s="7" r="E325">
        <v>64</v>
      </c>
      <c t="s" s="7" r="F325">
        <v>64</v>
      </c>
      <c t="s" s="7" r="G325">
        <v>64</v>
      </c>
      <c t="str" s="65" r="H325">
        <f>HYPERLINK("http://sofifa.com/en/fifa13winter/player/149544-michael-jacobs","M. Jacobs")</f>
        <v>M. Jacobs</v>
      </c>
      <c s="7" r="I325">
        <v>69</v>
      </c>
      <c t="s" s="7" r="J325">
        <v>128</v>
      </c>
      <c t="s" s="7" r="K325">
        <v>139</v>
      </c>
      <c t="s" s="7" r="L325">
        <v>160</v>
      </c>
      <c s="7" r="M325">
        <v>20</v>
      </c>
      <c s="26" r="N325">
        <v>2</v>
      </c>
      <c s="23" r="O325">
        <v>0.005</v>
      </c>
      <c s="7" r="P325"/>
      <c s="7" r="Q325"/>
      <c s="7" r="R325">
        <f>IF((P325&gt;0),O325,0)</f>
        <v>0</v>
      </c>
      <c t="str" r="S325">
        <f>CONCATENATE(F325,E325)</f>
        <v>DerbyDerby</v>
      </c>
    </row>
    <row r="326">
      <c t="s" s="7" r="A326">
        <v>63</v>
      </c>
      <c s="7" r="B326">
        <v>268</v>
      </c>
      <c s="7" r="C326">
        <v>4</v>
      </c>
      <c t="s" s="7" r="D326">
        <v>162</v>
      </c>
      <c t="s" s="7" r="E326">
        <v>64</v>
      </c>
      <c t="s" s="7" r="F326">
        <v>64</v>
      </c>
      <c t="s" s="7" r="G326">
        <v>64</v>
      </c>
      <c t="str" s="65" r="H326">
        <f>HYPERLINK("http://sofifa.com/en/fifa13winter/player/147581-craig-bryson","C. Bryson")</f>
        <v>C. Bryson</v>
      </c>
      <c s="7" r="I326">
        <v>70</v>
      </c>
      <c t="s" s="7" r="J326">
        <v>162</v>
      </c>
      <c t="s" s="7" r="K326">
        <v>121</v>
      </c>
      <c t="s" s="7" r="L326">
        <v>140</v>
      </c>
      <c s="7" r="M326">
        <v>25</v>
      </c>
      <c s="26" r="N326">
        <v>2.1</v>
      </c>
      <c s="23" r="O326">
        <v>0.007</v>
      </c>
      <c s="7" r="P326"/>
      <c s="7" r="Q326"/>
      <c s="7" r="R326">
        <f>IF((P326&gt;0),O326,0)</f>
        <v>0</v>
      </c>
      <c t="str" r="S326">
        <f>CONCATENATE(F326,E326)</f>
        <v>DerbyDerby</v>
      </c>
    </row>
    <row r="327">
      <c t="s" s="7" r="A327">
        <v>63</v>
      </c>
      <c s="7" r="B327">
        <v>269</v>
      </c>
      <c s="7" r="C327">
        <v>32</v>
      </c>
      <c t="s" s="7" r="D327">
        <v>131</v>
      </c>
      <c t="s" s="7" r="E327">
        <v>64</v>
      </c>
      <c t="s" s="7" r="F327">
        <v>64</v>
      </c>
      <c t="s" s="7" r="G327">
        <v>64</v>
      </c>
      <c t="str" s="65" r="H327">
        <f>HYPERLINK("http://sofifa.com/en/fifa13winter/player/147581-conor-sammon","C. Sammon")</f>
        <v>C. Sammon</v>
      </c>
      <c s="7" r="I327">
        <v>68</v>
      </c>
      <c t="s" s="7" r="J327">
        <v>129</v>
      </c>
      <c t="s" s="7" r="K327">
        <v>132</v>
      </c>
      <c t="s" s="7" r="L327">
        <v>151</v>
      </c>
      <c s="7" r="M327">
        <v>25</v>
      </c>
      <c s="26" r="N327">
        <v>1.9</v>
      </c>
      <c s="23" r="O327">
        <v>0.006</v>
      </c>
      <c s="7" r="P327"/>
      <c s="7" r="Q327"/>
      <c s="7" r="R327">
        <f>IF((P327&gt;0),O327,0)</f>
        <v>0</v>
      </c>
      <c t="str" r="S327">
        <f>CONCATENATE(F327,E327)</f>
        <v>DerbyDerby</v>
      </c>
    </row>
    <row r="328">
      <c t="s" s="7" r="A328">
        <v>63</v>
      </c>
      <c s="7" r="B328">
        <v>270</v>
      </c>
      <c s="7" r="C328">
        <v>10</v>
      </c>
      <c t="s" s="7" r="D328">
        <v>133</v>
      </c>
      <c t="s" s="7" r="E328">
        <v>64</v>
      </c>
      <c t="s" s="7" r="F328">
        <v>64</v>
      </c>
      <c t="s" s="7" r="G328">
        <v>64</v>
      </c>
      <c t="str" s="65" r="H328">
        <f>HYPERLINK("http://sofifa.com/en/fifa13winter/player/147403-jamie-ward","J. Ward")</f>
        <v>J. Ward</v>
      </c>
      <c s="7" r="I328">
        <v>72</v>
      </c>
      <c t="s" s="7" r="J328">
        <v>128</v>
      </c>
      <c t="s" s="7" r="K328">
        <v>197</v>
      </c>
      <c t="s" s="7" r="L328">
        <v>141</v>
      </c>
      <c s="7" r="M328">
        <v>26</v>
      </c>
      <c s="26" r="N328">
        <v>2.7</v>
      </c>
      <c s="23" r="O328">
        <v>0.009</v>
      </c>
      <c s="7" r="P328"/>
      <c s="7" r="Q328"/>
      <c s="7" r="R328">
        <f>IF((P328&gt;0),O328,0)</f>
        <v>0</v>
      </c>
      <c t="str" r="S328">
        <f>CONCATENATE(F328,E328)</f>
        <v>DerbyDerby</v>
      </c>
    </row>
    <row r="329">
      <c t="s" s="7" r="A329">
        <v>63</v>
      </c>
      <c s="7" r="B329">
        <v>271</v>
      </c>
      <c s="7" r="C329">
        <v>23</v>
      </c>
      <c t="s" s="7" r="D329">
        <v>136</v>
      </c>
      <c t="s" s="7" r="E329">
        <v>64</v>
      </c>
      <c t="s" s="7" r="F329">
        <v>64</v>
      </c>
      <c t="s" s="7" r="G329">
        <v>64</v>
      </c>
      <c t="str" s="65" r="H329">
        <f>HYPERLINK("http://sofifa.com/en/fifa13winter/player/149543-kieron-freeman","K. Freeman")</f>
        <v>K. Freeman</v>
      </c>
      <c s="7" r="I329">
        <v>61</v>
      </c>
      <c t="s" s="7" r="J329">
        <v>109</v>
      </c>
      <c t="s" s="7" r="K329">
        <v>145</v>
      </c>
      <c t="s" s="7" r="L329">
        <v>160</v>
      </c>
      <c s="7" r="M329">
        <v>20</v>
      </c>
      <c s="26" r="N329">
        <v>0.6</v>
      </c>
      <c s="23" r="O329">
        <v>0.003</v>
      </c>
      <c s="7" r="P329"/>
      <c s="7" r="Q329"/>
      <c s="7" r="R329">
        <f>IF((P329&gt;0),O329,0)</f>
        <v>0</v>
      </c>
      <c t="str" r="S329">
        <f>CONCATENATE(F329,E329)</f>
        <v>DerbyDerby</v>
      </c>
    </row>
    <row r="330">
      <c t="s" s="7" r="A330">
        <v>63</v>
      </c>
      <c s="7" r="B330">
        <v>272</v>
      </c>
      <c s="7" r="C330">
        <v>17</v>
      </c>
      <c t="s" s="7" r="D330">
        <v>136</v>
      </c>
      <c t="s" s="7" r="E330">
        <v>64</v>
      </c>
      <c t="s" s="7" r="F330">
        <v>64</v>
      </c>
      <c t="s" s="7" r="G330">
        <v>64</v>
      </c>
      <c t="str" s="65" r="H330">
        <f>HYPERLINK("http://sofifa.com/en/fifa13winter/player/149276-tom-naylor","T. Naylor")</f>
        <v>T. Naylor</v>
      </c>
      <c s="7" r="I330">
        <v>59</v>
      </c>
      <c t="s" s="7" r="J330">
        <v>113</v>
      </c>
      <c t="s" s="7" r="K330">
        <v>134</v>
      </c>
      <c t="s" s="7" r="L330">
        <v>146</v>
      </c>
      <c s="7" r="M330">
        <v>21</v>
      </c>
      <c s="26" r="N330">
        <v>0.4</v>
      </c>
      <c s="23" r="O330">
        <v>0.003</v>
      </c>
      <c s="7" r="P330"/>
      <c s="7" r="Q330"/>
      <c s="7" r="R330">
        <f>IF((P330&gt;0),O330,0)</f>
        <v>0</v>
      </c>
      <c t="str" r="S330">
        <f>CONCATENATE(F330,E330)</f>
        <v>DerbyDerby</v>
      </c>
    </row>
    <row r="331">
      <c t="s" s="7" r="A331">
        <v>63</v>
      </c>
      <c s="7" r="B331">
        <v>273</v>
      </c>
      <c s="7" r="C331">
        <v>15</v>
      </c>
      <c t="s" s="7" r="D331">
        <v>136</v>
      </c>
      <c t="s" s="7" r="E331">
        <v>64</v>
      </c>
      <c t="s" s="7" r="F331">
        <v>64</v>
      </c>
      <c t="s" s="7" r="G331">
        <v>64</v>
      </c>
      <c t="str" s="65" r="H331">
        <f>HYPERLINK("http://sofifa.com/en/fifa13winter/player/149787-mark-obrien","M. O'Brien")</f>
        <v>M. O'Brien</v>
      </c>
      <c s="7" r="I331">
        <v>67</v>
      </c>
      <c t="s" s="7" r="J331">
        <v>113</v>
      </c>
      <c t="s" s="7" r="K331">
        <v>114</v>
      </c>
      <c t="s" s="7" r="L331">
        <v>138</v>
      </c>
      <c s="7" r="M331">
        <v>19</v>
      </c>
      <c s="26" r="N331">
        <v>1.5</v>
      </c>
      <c s="23" r="O331">
        <v>0.004</v>
      </c>
      <c s="7" r="P331"/>
      <c s="7" r="Q331"/>
      <c s="7" r="R331">
        <f>IF((P331&gt;0),O331,0)</f>
        <v>0</v>
      </c>
      <c t="str" r="S331">
        <f>CONCATENATE(F331,E331)</f>
        <v>DerbyDerby</v>
      </c>
    </row>
    <row r="332">
      <c t="s" s="7" r="A332">
        <v>63</v>
      </c>
      <c s="7" r="B332">
        <v>274</v>
      </c>
      <c s="7" r="C332">
        <v>21</v>
      </c>
      <c t="s" s="7" r="D332">
        <v>136</v>
      </c>
      <c t="s" s="7" r="E332">
        <v>64</v>
      </c>
      <c t="s" s="7" r="F332">
        <v>64</v>
      </c>
      <c t="s" s="7" r="G332">
        <v>64</v>
      </c>
      <c t="str" s="65" r="H332">
        <f>HYPERLINK("http://sofifa.com/en/fifa13winter/player/150063-valentin-gjokaj","V. Gjokaj")</f>
        <v>V. Gjokaj</v>
      </c>
      <c s="7" r="I332">
        <v>58</v>
      </c>
      <c t="s" s="7" r="J332">
        <v>113</v>
      </c>
      <c t="s" s="7" r="K332">
        <v>134</v>
      </c>
      <c t="s" s="7" r="L332">
        <v>137</v>
      </c>
      <c s="7" r="M332">
        <v>19</v>
      </c>
      <c s="26" r="N332">
        <v>0.3</v>
      </c>
      <c s="23" r="O332">
        <v>0.002</v>
      </c>
      <c s="7" r="P332"/>
      <c s="7" r="Q332"/>
      <c s="7" r="R332">
        <f>IF((P332&gt;0),O332,0)</f>
        <v>0</v>
      </c>
      <c t="str" r="S332">
        <f>CONCATENATE(F332,E332)</f>
        <v>DerbyDerby</v>
      </c>
    </row>
    <row r="333">
      <c t="s" s="7" r="A333">
        <v>63</v>
      </c>
      <c s="7" r="B333">
        <v>275</v>
      </c>
      <c s="7" r="C333">
        <v>30</v>
      </c>
      <c t="s" s="7" r="D333">
        <v>136</v>
      </c>
      <c t="s" s="7" r="E333">
        <v>64</v>
      </c>
      <c t="s" s="7" r="F333">
        <v>64</v>
      </c>
      <c t="s" s="7" r="G333">
        <v>64</v>
      </c>
      <c t="str" s="65" r="H333">
        <f>HYPERLINK("http://sofifa.com/en/fifa13winter/player/146257-saul-deeney","S. Deeney")</f>
        <v>S. Deeney</v>
      </c>
      <c s="7" r="I333">
        <v>58</v>
      </c>
      <c t="s" s="7" r="J333">
        <v>106</v>
      </c>
      <c t="s" s="7" r="K333">
        <v>132</v>
      </c>
      <c t="s" s="7" r="L333">
        <v>138</v>
      </c>
      <c s="7" r="M333">
        <v>29</v>
      </c>
      <c s="26" r="N333">
        <v>0.2</v>
      </c>
      <c s="23" r="O333">
        <v>0.003</v>
      </c>
      <c s="7" r="P333"/>
      <c s="7" r="Q333"/>
      <c s="7" r="R333">
        <f>IF((P333&gt;0),O333,0)</f>
        <v>0</v>
      </c>
      <c t="str" r="S333">
        <f>CONCATENATE(F333,E333)</f>
        <v>DerbyDerby</v>
      </c>
    </row>
    <row r="334">
      <c t="s" s="7" r="A334">
        <v>63</v>
      </c>
      <c s="7" r="B334">
        <v>276</v>
      </c>
      <c s="7" r="C334">
        <v>7</v>
      </c>
      <c t="s" s="7" r="D334">
        <v>136</v>
      </c>
      <c t="s" s="7" r="E334">
        <v>64</v>
      </c>
      <c t="s" s="7" r="F334">
        <v>64</v>
      </c>
      <c t="s" s="7" r="G334">
        <v>64</v>
      </c>
      <c t="str" s="65" r="H334">
        <f>HYPERLINK("http://sofifa.com/en/fifa13winter/player/148205-paul-coutts","P. Coutts")</f>
        <v>P. Coutts</v>
      </c>
      <c s="7" r="I334">
        <v>69</v>
      </c>
      <c t="s" s="7" r="J334">
        <v>120</v>
      </c>
      <c t="s" s="7" r="K334">
        <v>110</v>
      </c>
      <c t="s" s="7" r="L334">
        <v>151</v>
      </c>
      <c s="7" r="M334">
        <v>24</v>
      </c>
      <c s="26" r="N334">
        <v>1.8</v>
      </c>
      <c s="23" r="O334">
        <v>0.007</v>
      </c>
      <c s="7" r="P334"/>
      <c s="7" r="Q334"/>
      <c s="7" r="R334">
        <f>IF((P334&gt;0),O334,0)</f>
        <v>0</v>
      </c>
      <c t="str" r="S334">
        <f>CONCATENATE(F334,E334)</f>
        <v>DerbyDerby</v>
      </c>
    </row>
    <row r="335">
      <c t="s" s="7" r="A335">
        <v>63</v>
      </c>
      <c s="7" r="B335">
        <v>277</v>
      </c>
      <c s="7" r="C335">
        <v>9</v>
      </c>
      <c t="s" s="7" r="D335">
        <v>136</v>
      </c>
      <c t="s" s="7" r="E335">
        <v>64</v>
      </c>
      <c t="s" s="7" r="F335">
        <v>64</v>
      </c>
      <c t="s" s="7" r="G335">
        <v>64</v>
      </c>
      <c t="str" s="65" r="H335">
        <f>HYPERLINK("http://sofifa.com/en/fifa13winter/player/145934-nathan-tyson","N. Tyson")</f>
        <v>N. Tyson</v>
      </c>
      <c s="7" r="I335">
        <v>66</v>
      </c>
      <c t="s" s="7" r="J335">
        <v>129</v>
      </c>
      <c t="s" s="7" r="K335">
        <v>110</v>
      </c>
      <c t="s" s="7" r="L335">
        <v>141</v>
      </c>
      <c s="7" r="M335">
        <v>30</v>
      </c>
      <c s="26" r="N335">
        <v>1.3</v>
      </c>
      <c s="23" r="O335">
        <v>0.006</v>
      </c>
      <c s="7" r="P335"/>
      <c s="7" r="Q335"/>
      <c s="7" r="R335">
        <f>IF((P335&gt;0),O335,0)</f>
        <v>0</v>
      </c>
      <c t="str" r="S335">
        <f>CONCATENATE(F335,E335)</f>
        <v>DerbyDerby</v>
      </c>
    </row>
    <row r="336">
      <c t="s" s="7" r="A336">
        <v>63</v>
      </c>
      <c s="7" r="B336">
        <v>278</v>
      </c>
      <c s="7" r="C336">
        <v>18</v>
      </c>
      <c t="s" s="7" r="D336">
        <v>136</v>
      </c>
      <c t="s" s="7" r="E336">
        <v>64</v>
      </c>
      <c t="s" s="7" r="F336">
        <v>64</v>
      </c>
      <c t="s" s="7" r="G336">
        <v>64</v>
      </c>
      <c t="str" s="65" r="H336">
        <f>HYPERLINK("http://sofifa.com/en/fifa13winter/player/145592-ben-davies","B. Davies")</f>
        <v>B. Davies</v>
      </c>
      <c s="7" r="I336">
        <v>67</v>
      </c>
      <c t="s" s="7" r="J336">
        <v>120</v>
      </c>
      <c t="s" s="7" r="K336">
        <v>121</v>
      </c>
      <c t="s" s="7" r="L336">
        <v>163</v>
      </c>
      <c s="7" r="M336">
        <v>31</v>
      </c>
      <c s="26" r="N336">
        <v>1.1</v>
      </c>
      <c s="23" r="O336">
        <v>0.006</v>
      </c>
      <c s="7" r="P336"/>
      <c s="7" r="Q336"/>
      <c s="7" r="R336">
        <f>IF((P336&gt;0),O336,0)</f>
        <v>0</v>
      </c>
      <c t="str" r="S336">
        <f>CONCATENATE(F336,E336)</f>
        <v>DerbyDerby</v>
      </c>
    </row>
    <row r="337">
      <c t="s" s="7" r="A337">
        <v>63</v>
      </c>
      <c s="7" r="B337">
        <v>279</v>
      </c>
      <c s="7" r="C337">
        <v>33</v>
      </c>
      <c t="s" s="7" r="D337">
        <v>136</v>
      </c>
      <c t="s" s="7" r="E337">
        <v>64</v>
      </c>
      <c t="s" s="7" r="F337">
        <v>64</v>
      </c>
      <c t="s" s="7" r="G337">
        <v>64</v>
      </c>
      <c t="str" s="65" r="H337">
        <f>HYPERLINK("http://sofifa.com/en/fifa13winter/player/146072-shaun-barker","S. Barker")</f>
        <v>S. Barker</v>
      </c>
      <c s="7" r="I337">
        <v>72</v>
      </c>
      <c t="s" s="7" r="J337">
        <v>113</v>
      </c>
      <c t="s" s="7" r="K337">
        <v>134</v>
      </c>
      <c t="s" s="7" r="L337">
        <v>153</v>
      </c>
      <c s="7" r="M337">
        <v>29</v>
      </c>
      <c s="26" r="N337">
        <v>2.3</v>
      </c>
      <c s="23" r="O337">
        <v>0.009</v>
      </c>
      <c s="7" r="P337"/>
      <c s="7" r="Q337"/>
      <c s="7" r="R337">
        <f>IF((P337&gt;0),O337,0)</f>
        <v>0</v>
      </c>
      <c t="str" r="S337">
        <f>CONCATENATE(F337,E337)</f>
        <v>DerbyDerby</v>
      </c>
    </row>
    <row r="338">
      <c t="s" s="7" r="A338">
        <v>63</v>
      </c>
      <c s="7" r="B338">
        <v>280</v>
      </c>
      <c s="7" r="C338">
        <v>16</v>
      </c>
      <c t="s" s="7" r="D338">
        <v>136</v>
      </c>
      <c t="s" s="7" r="E338">
        <v>64</v>
      </c>
      <c t="s" s="7" r="F338">
        <v>64</v>
      </c>
      <c t="s" s="7" r="G338">
        <v>64</v>
      </c>
      <c t="str" s="65" r="H338">
        <f>HYPERLINK("http://sofifa.com/en/fifa13winter/player/146865-james-oconnor","J. O'Connor")</f>
        <v>J. O'Connor</v>
      </c>
      <c s="7" r="I338">
        <v>66</v>
      </c>
      <c t="s" s="7" r="J338">
        <v>109</v>
      </c>
      <c t="s" s="7" r="K338">
        <v>118</v>
      </c>
      <c t="s" s="7" r="L338">
        <v>158</v>
      </c>
      <c s="7" r="M338">
        <v>27</v>
      </c>
      <c s="26" r="N338">
        <v>1.1</v>
      </c>
      <c s="23" r="O338">
        <v>0.005</v>
      </c>
      <c s="7" r="P338"/>
      <c s="7" r="Q338"/>
      <c s="7" r="R338">
        <f>IF((P338&gt;0),O338,0)</f>
        <v>0</v>
      </c>
      <c t="str" r="S338">
        <f>CONCATENATE(F338,E338)</f>
        <v>DerbyDerby</v>
      </c>
    </row>
    <row r="339">
      <c t="s" s="7" r="A339">
        <v>63</v>
      </c>
      <c s="7" r="B339">
        <v>281</v>
      </c>
      <c s="7" r="C339">
        <v>1</v>
      </c>
      <c t="s" s="7" r="D339">
        <v>136</v>
      </c>
      <c t="s" s="7" r="E339">
        <v>64</v>
      </c>
      <c t="s" s="7" r="F339">
        <v>64</v>
      </c>
      <c t="s" s="7" r="G339">
        <v>64</v>
      </c>
      <c t="str" s="65" r="H339">
        <f>HYPERLINK("http://sofifa.com/en/fifa13winter/player/148096-frank-fielding","F. Fielding")</f>
        <v>F. Fielding</v>
      </c>
      <c s="7" r="I339">
        <v>71</v>
      </c>
      <c t="s" s="7" r="J339">
        <v>106</v>
      </c>
      <c t="s" s="7" r="K339">
        <v>132</v>
      </c>
      <c t="s" s="7" r="L339">
        <v>151</v>
      </c>
      <c s="7" r="M339">
        <v>24</v>
      </c>
      <c s="26" r="N339">
        <v>1.9</v>
      </c>
      <c s="23" r="O339">
        <v>0.008</v>
      </c>
      <c s="7" r="P339"/>
      <c s="7" r="Q339"/>
      <c s="7" r="R339">
        <f>IF((P339&gt;0),O339,0)</f>
        <v>0</v>
      </c>
      <c t="str" r="S339">
        <f>CONCATENATE(F339,E339)</f>
        <v>DerbyDerby</v>
      </c>
    </row>
    <row r="340">
      <c t="s" s="7" r="A340">
        <v>63</v>
      </c>
      <c s="7" r="B340">
        <v>282</v>
      </c>
      <c s="7" r="C340">
        <v>11</v>
      </c>
      <c t="s" s="7" r="D340">
        <v>136</v>
      </c>
      <c t="s" s="7" r="E340">
        <v>64</v>
      </c>
      <c t="s" s="7" r="F340">
        <v>64</v>
      </c>
      <c t="s" s="7" r="G340">
        <v>64</v>
      </c>
      <c t="str" s="65" r="H340">
        <f>HYPERLINK("http://sofifa.com/en/fifa13winter/player/148389-theo-robinson","T. Robinson")</f>
        <v>T. Robinson</v>
      </c>
      <c s="7" r="I340">
        <v>65</v>
      </c>
      <c t="s" s="7" r="J340">
        <v>129</v>
      </c>
      <c t="s" s="7" r="K340">
        <v>182</v>
      </c>
      <c t="s" s="7" r="L340">
        <v>141</v>
      </c>
      <c s="7" r="M340">
        <v>23</v>
      </c>
      <c s="26" r="N340">
        <v>1.2</v>
      </c>
      <c s="23" r="O340">
        <v>0.005</v>
      </c>
      <c s="7" r="P340"/>
      <c s="7" r="Q340"/>
      <c s="7" r="R340">
        <f>IF((P340&gt;0),O340,0)</f>
        <v>0</v>
      </c>
      <c t="str" r="S340">
        <f>CONCATENATE(F340,E340)</f>
        <v>DerbyDerby</v>
      </c>
    </row>
    <row r="341">
      <c t="s" s="7" r="A341">
        <v>63</v>
      </c>
      <c s="7" r="B341">
        <v>283</v>
      </c>
      <c s="7" r="C341">
        <v>14</v>
      </c>
      <c t="s" s="7" r="D341">
        <v>147</v>
      </c>
      <c t="s" s="7" r="E341">
        <v>64</v>
      </c>
      <c t="s" s="7" r="F341">
        <v>64</v>
      </c>
      <c t="s" s="7" r="G341">
        <v>64</v>
      </c>
      <c t="str" s="65" r="H341">
        <f>HYPERLINK("http://sofifa.com/en/fifa13winter/player/149383-conor-doyle","C. Doyle")</f>
        <v>C. Doyle</v>
      </c>
      <c s="7" r="I341">
        <v>56</v>
      </c>
      <c t="s" s="7" r="J341">
        <v>129</v>
      </c>
      <c t="s" s="7" r="K341">
        <v>134</v>
      </c>
      <c t="s" s="7" r="L341">
        <v>137</v>
      </c>
      <c s="7" r="M341">
        <v>20</v>
      </c>
      <c s="26" r="N341">
        <v>0.1</v>
      </c>
      <c s="23" r="O341">
        <v>0.002</v>
      </c>
      <c s="7" r="P341"/>
      <c s="7" r="Q341"/>
      <c s="7" r="R341">
        <f>IF((P341&gt;0),O341,0)</f>
        <v>0</v>
      </c>
      <c t="str" r="S341">
        <f>CONCATENATE(F341,E341)</f>
        <v>DerbyDerby</v>
      </c>
    </row>
    <row r="342">
      <c t="s" s="7" r="A342">
        <v>63</v>
      </c>
      <c s="7" r="B342">
        <v>284</v>
      </c>
      <c s="7" r="C342">
        <v>35</v>
      </c>
      <c t="s" s="7" r="D342">
        <v>147</v>
      </c>
      <c t="s" s="7" r="E342">
        <v>64</v>
      </c>
      <c t="s" s="7" r="F342">
        <v>64</v>
      </c>
      <c t="s" s="7" r="G342">
        <v>64</v>
      </c>
      <c t="str" s="65" r="H342">
        <f>HYPERLINK("http://sofifa.com/en/fifa13winter/player/150079-mats-morch","M. Mørch")</f>
        <v>M. Mørch</v>
      </c>
      <c s="7" r="I342">
        <v>51</v>
      </c>
      <c t="s" s="7" r="J342">
        <v>106</v>
      </c>
      <c t="s" s="7" r="K342">
        <v>132</v>
      </c>
      <c t="s" s="7" r="L342">
        <v>158</v>
      </c>
      <c s="7" r="M342">
        <v>18</v>
      </c>
      <c s="26" r="N342">
        <v>0.1</v>
      </c>
      <c s="23" r="O342">
        <v>0.002</v>
      </c>
      <c s="7" r="P342"/>
      <c s="7" r="Q342"/>
      <c s="7" r="R342">
        <f>IF((P342&gt;0),O342,0)</f>
        <v>0</v>
      </c>
      <c t="str" r="S342">
        <f>CONCATENATE(F342,E342)</f>
        <v>DerbyDerby</v>
      </c>
    </row>
    <row r="343">
      <c t="s" s="7" r="A343">
        <v>63</v>
      </c>
      <c s="7" r="B343">
        <v>285</v>
      </c>
      <c s="7" r="C343">
        <v>25</v>
      </c>
      <c t="s" s="7" r="D343">
        <v>147</v>
      </c>
      <c t="s" s="7" r="E343">
        <v>64</v>
      </c>
      <c t="s" s="7" r="F343">
        <v>64</v>
      </c>
      <c t="s" s="7" r="G343">
        <v>64</v>
      </c>
      <c t="str" s="65" r="H343">
        <f>HYPERLINK("http://sofifa.com/en/fifa13winter/player/149744-callum-ball","C. Ball")</f>
        <v>C. Ball</v>
      </c>
      <c s="7" r="I343">
        <v>63</v>
      </c>
      <c t="s" s="7" r="J343">
        <v>129</v>
      </c>
      <c t="s" s="7" r="K343">
        <v>132</v>
      </c>
      <c t="s" s="7" r="L343">
        <v>125</v>
      </c>
      <c s="7" r="M343">
        <v>19</v>
      </c>
      <c s="26" r="N343">
        <v>1.1</v>
      </c>
      <c s="23" r="O343">
        <v>0.003</v>
      </c>
      <c s="7" r="P343"/>
      <c s="7" r="Q343"/>
      <c s="7" r="R343">
        <f>IF((P343&gt;0),O343,0)</f>
        <v>0</v>
      </c>
      <c t="str" r="S343">
        <f>CONCATENATE(F343,E343)</f>
        <v>DerbyDerby</v>
      </c>
    </row>
    <row r="344">
      <c t="s" s="7" r="A344">
        <v>63</v>
      </c>
      <c s="7" r="B344">
        <v>286</v>
      </c>
      <c s="7" r="C344">
        <v>24</v>
      </c>
      <c t="s" s="7" r="D344">
        <v>147</v>
      </c>
      <c t="s" s="7" r="E344">
        <v>64</v>
      </c>
      <c t="s" s="7" r="F344">
        <v>64</v>
      </c>
      <c t="s" s="7" r="G344">
        <v>64</v>
      </c>
      <c t="str" s="65" r="H344">
        <f>HYPERLINK("http://sofifa.com/en/fifa13winter/player/148263-james-bailey","J. Bailey")</f>
        <v>J. Bailey</v>
      </c>
      <c s="7" r="I344">
        <v>67</v>
      </c>
      <c t="s" s="7" r="J344">
        <v>124</v>
      </c>
      <c t="s" s="7" r="K344">
        <v>110</v>
      </c>
      <c t="s" s="7" r="L344">
        <v>158</v>
      </c>
      <c s="7" r="M344">
        <v>23</v>
      </c>
      <c s="26" r="N344">
        <v>1.4</v>
      </c>
      <c s="23" r="O344">
        <v>0.005</v>
      </c>
      <c s="7" r="P344"/>
      <c s="7" r="Q344"/>
      <c s="7" r="R344">
        <f>IF((P344&gt;0),O344,0)</f>
        <v>0</v>
      </c>
      <c t="str" r="S344">
        <f>CONCATENATE(F344,E344)</f>
        <v>DerbyDerby</v>
      </c>
    </row>
    <row r="345">
      <c t="s" s="7" r="A345">
        <v>63</v>
      </c>
      <c s="7" r="B345">
        <v>287</v>
      </c>
      <c s="7" r="C345">
        <v>29</v>
      </c>
      <c t="s" s="7" r="D345">
        <v>147</v>
      </c>
      <c t="s" s="7" r="E345">
        <v>64</v>
      </c>
      <c t="s" s="7" r="F345">
        <v>64</v>
      </c>
      <c t="s" s="7" r="G345">
        <v>64</v>
      </c>
      <c t="str" s="65" r="H345">
        <f>HYPERLINK("http://sofifa.com/en/fifa13winter/player/150872-jamie-hanson","J. Hanson")</f>
        <v>J. Hanson</v>
      </c>
      <c s="7" r="I345">
        <v>58</v>
      </c>
      <c t="s" s="7" r="J345">
        <v>113</v>
      </c>
      <c t="s" s="7" r="K345">
        <v>152</v>
      </c>
      <c t="s" s="7" r="L345">
        <v>158</v>
      </c>
      <c s="7" r="M345">
        <v>16</v>
      </c>
      <c s="26" r="N345">
        <v>0.3</v>
      </c>
      <c s="23" r="O345">
        <v>0.002</v>
      </c>
      <c s="7" r="P345"/>
      <c s="7" r="Q345"/>
      <c s="7" r="R345">
        <f>IF((P345&gt;0),O345,0)</f>
        <v>0</v>
      </c>
      <c t="str" r="S345">
        <f>CONCATENATE(F345,E345)</f>
        <v>DerbyDerby</v>
      </c>
    </row>
    <row r="346">
      <c t="s" s="7" r="A346">
        <v>18</v>
      </c>
      <c s="7" r="B346">
        <v>454</v>
      </c>
      <c s="7" r="C346">
        <v>1</v>
      </c>
      <c t="s" s="7" r="D346">
        <v>106</v>
      </c>
      <c t="s" s="7" r="E346">
        <v>19</v>
      </c>
      <c t="s" s="7" r="F346">
        <v>19</v>
      </c>
      <c t="s" s="7" r="G346">
        <v>19</v>
      </c>
      <c t="str" s="65" r="H346">
        <f>HYPERLINK("http://sofifa.com/en/fifa13winter/player/147745-joe-hart","J. Hart")</f>
        <v>J. Hart</v>
      </c>
      <c s="7" r="I346">
        <v>84</v>
      </c>
      <c t="s" s="7" r="J346">
        <v>106</v>
      </c>
      <c t="s" s="7" r="K346">
        <v>198</v>
      </c>
      <c t="s" s="7" r="L346">
        <v>156</v>
      </c>
      <c s="7" r="M346">
        <v>25</v>
      </c>
      <c s="26" r="N346">
        <v>14.5</v>
      </c>
      <c s="23" r="O346">
        <v>0.083</v>
      </c>
      <c s="7" r="P346"/>
      <c s="7" r="Q346"/>
      <c s="7" r="R346">
        <f>IF((P346&gt;0),O346,0)</f>
        <v>0</v>
      </c>
      <c t="str" r="S346">
        <f>CONCATENATE(F346,E346)</f>
        <v>Manchester CityManchester City</v>
      </c>
    </row>
    <row r="347">
      <c t="s" s="7" r="A347">
        <v>18</v>
      </c>
      <c s="7" r="B347">
        <v>455</v>
      </c>
      <c s="7" r="C347">
        <v>5</v>
      </c>
      <c t="s" s="7" r="D347">
        <v>109</v>
      </c>
      <c t="s" s="7" r="E347">
        <v>19</v>
      </c>
      <c t="s" s="7" r="F347">
        <v>19</v>
      </c>
      <c t="s" s="7" r="G347">
        <v>19</v>
      </c>
      <c t="str" s="65" r="H347">
        <f>HYPERLINK("http://sofifa.com/en/fifa13winter/player/146922-pablo-zabaleta","P. Zabaleta")</f>
        <v>P. Zabaleta</v>
      </c>
      <c s="7" r="I347">
        <v>81</v>
      </c>
      <c t="s" s="7" r="J347">
        <v>109</v>
      </c>
      <c t="s" s="7" r="K347">
        <v>159</v>
      </c>
      <c t="s" s="7" r="L347">
        <v>137</v>
      </c>
      <c s="7" r="M347">
        <v>27</v>
      </c>
      <c s="26" r="N347">
        <v>10.5</v>
      </c>
      <c s="23" r="O347">
        <v>0.04</v>
      </c>
      <c s="7" r="P347"/>
      <c s="7" r="Q347"/>
      <c s="7" r="R347">
        <f>IF((P347&gt;0),O347,0)</f>
        <v>0</v>
      </c>
      <c t="str" r="S347">
        <f>CONCATENATE(F347,E347)</f>
        <v>Manchester CityManchester City</v>
      </c>
    </row>
    <row r="348">
      <c t="s" s="7" r="A348">
        <v>18</v>
      </c>
      <c s="7" r="B348">
        <v>456</v>
      </c>
      <c s="7" r="C348">
        <v>4</v>
      </c>
      <c t="s" s="7" r="D348">
        <v>112</v>
      </c>
      <c t="s" s="7" r="E348">
        <v>19</v>
      </c>
      <c t="s" s="7" r="F348">
        <v>19</v>
      </c>
      <c t="s" s="7" r="G348">
        <v>19</v>
      </c>
      <c t="str" s="65" r="H348">
        <f>HYPERLINK("http://sofifa.com/en/fifa13winter/player/147371-vincent-kompany","V. Kompany")</f>
        <v>V. Kompany</v>
      </c>
      <c s="7" r="I348">
        <v>86</v>
      </c>
      <c t="s" s="7" r="J348">
        <v>113</v>
      </c>
      <c t="s" s="7" r="K348">
        <v>165</v>
      </c>
      <c t="s" s="7" r="L348">
        <v>179</v>
      </c>
      <c s="7" r="M348">
        <v>26</v>
      </c>
      <c s="26" r="N348">
        <v>27.6</v>
      </c>
      <c s="23" r="O348">
        <v>0.135</v>
      </c>
      <c s="7" r="P348"/>
      <c s="7" r="Q348"/>
      <c s="7" r="R348">
        <f>IF((P348&gt;0),O348,0)</f>
        <v>0</v>
      </c>
      <c t="str" r="S348">
        <f>CONCATENATE(F348,E348)</f>
        <v>Manchester CityManchester City</v>
      </c>
    </row>
    <row r="349">
      <c t="s" s="7" r="A349">
        <v>18</v>
      </c>
      <c s="7" r="B349">
        <v>457</v>
      </c>
      <c s="7" r="C349">
        <v>33</v>
      </c>
      <c t="s" s="7" r="D349">
        <v>116</v>
      </c>
      <c t="s" s="7" r="E349">
        <v>19</v>
      </c>
      <c t="s" s="7" r="F349">
        <v>19</v>
      </c>
      <c t="s" s="7" r="G349">
        <v>19</v>
      </c>
      <c t="str" s="65" r="H349">
        <f>HYPERLINK("http://sofifa.com/en/fifa13winter/player/149915-matija-nastasic","M. Nastasić")</f>
        <v>M. Nastasić</v>
      </c>
      <c s="7" r="I349">
        <v>77</v>
      </c>
      <c t="s" s="7" r="J349">
        <v>113</v>
      </c>
      <c t="s" s="7" r="K349">
        <v>155</v>
      </c>
      <c t="s" s="7" r="L349">
        <v>153</v>
      </c>
      <c s="7" r="M349">
        <v>19</v>
      </c>
      <c s="26" r="N349">
        <v>6.4</v>
      </c>
      <c s="23" r="O349">
        <v>0.013</v>
      </c>
      <c s="7" r="P349"/>
      <c s="7" r="Q349"/>
      <c s="7" r="R349">
        <f>IF((P349&gt;0),O349,0)</f>
        <v>0</v>
      </c>
      <c t="str" r="S349">
        <f>CONCATENATE(F349,E349)</f>
        <v>Manchester CityManchester City</v>
      </c>
    </row>
    <row r="350">
      <c t="s" s="7" r="A350">
        <v>18</v>
      </c>
      <c s="7" r="B350">
        <v>458</v>
      </c>
      <c s="7" r="C350">
        <v>22</v>
      </c>
      <c t="s" s="7" r="D350">
        <v>117</v>
      </c>
      <c t="s" s="7" r="E350">
        <v>19</v>
      </c>
      <c t="s" s="7" r="F350">
        <v>19</v>
      </c>
      <c t="s" s="7" r="G350">
        <v>19</v>
      </c>
      <c t="str" s="65" r="H350">
        <f>HYPERLINK("http://sofifa.com/en/fifa13winter/player/147113-gael-clichy","G. Clichy")</f>
        <v>G. Clichy</v>
      </c>
      <c s="7" r="I350">
        <v>81</v>
      </c>
      <c t="s" s="7" r="J350">
        <v>117</v>
      </c>
      <c t="s" s="7" r="K350">
        <v>172</v>
      </c>
      <c t="s" s="7" r="L350">
        <v>146</v>
      </c>
      <c s="7" r="M350">
        <v>27</v>
      </c>
      <c s="26" r="N350">
        <v>10.5</v>
      </c>
      <c s="23" r="O350">
        <v>0.04</v>
      </c>
      <c s="7" r="P350"/>
      <c s="7" r="Q350"/>
      <c s="7" r="R350">
        <f>IF((P350&gt;0),O350,0)</f>
        <v>0</v>
      </c>
      <c t="str" r="S350">
        <f>CONCATENATE(F350,E350)</f>
        <v>Manchester CityManchester City</v>
      </c>
    </row>
    <row r="351">
      <c t="s" s="7" r="A351">
        <v>18</v>
      </c>
      <c s="7" r="B351">
        <v>459</v>
      </c>
      <c s="7" r="C351">
        <v>42</v>
      </c>
      <c t="s" s="7" r="D351">
        <v>186</v>
      </c>
      <c t="s" s="7" r="E351">
        <v>19</v>
      </c>
      <c t="s" s="7" r="F351">
        <v>19</v>
      </c>
      <c t="s" s="7" r="G351">
        <v>19</v>
      </c>
      <c t="str" s="65" r="H351">
        <f>HYPERLINK("http://sofifa.com/en/fifa13winter/player/146308-yaya-toure","Y. Touré")</f>
        <v>Y. Touré</v>
      </c>
      <c s="7" r="I351">
        <v>86</v>
      </c>
      <c t="s" s="7" r="J351">
        <v>154</v>
      </c>
      <c t="s" s="7" r="K351">
        <v>155</v>
      </c>
      <c t="s" s="7" r="L351">
        <v>161</v>
      </c>
      <c s="7" r="M351">
        <v>29</v>
      </c>
      <c s="26" r="N351">
        <v>21.6</v>
      </c>
      <c s="23" r="O351">
        <v>0.146</v>
      </c>
      <c s="7" r="P351"/>
      <c s="7" r="Q351"/>
      <c s="7" r="R351">
        <f>IF((P351&gt;0),O351,0)</f>
        <v>0</v>
      </c>
      <c t="str" r="S351">
        <f>CONCATENATE(F351,E351)</f>
        <v>Manchester CityManchester City</v>
      </c>
    </row>
    <row r="352">
      <c t="s" s="7" r="A352">
        <v>18</v>
      </c>
      <c s="7" r="B352">
        <v>460</v>
      </c>
      <c s="7" r="C352">
        <v>18</v>
      </c>
      <c t="s" s="7" r="D352">
        <v>174</v>
      </c>
      <c t="s" s="7" r="E352">
        <v>19</v>
      </c>
      <c t="s" s="7" r="F352">
        <v>19</v>
      </c>
      <c t="s" s="7" r="G352">
        <v>19</v>
      </c>
      <c t="str" s="65" r="H352">
        <f>HYPERLINK("http://sofifa.com/en/fifa13winter/player/145499-gareth-barry","G. Barry")</f>
        <v>G. Barry</v>
      </c>
      <c s="7" r="I352">
        <v>80</v>
      </c>
      <c t="s" s="7" r="J352">
        <v>154</v>
      </c>
      <c t="s" s="7" r="K352">
        <v>110</v>
      </c>
      <c t="s" s="7" r="L352">
        <v>158</v>
      </c>
      <c s="7" r="M352">
        <v>31</v>
      </c>
      <c s="26" r="N352">
        <v>7.2</v>
      </c>
      <c s="23" r="O352">
        <v>0.035</v>
      </c>
      <c s="7" r="P352"/>
      <c s="7" r="Q352"/>
      <c s="7" r="R352">
        <f>IF((P352&gt;0),O352,0)</f>
        <v>0</v>
      </c>
      <c t="str" r="S352">
        <f>CONCATENATE(F352,E352)</f>
        <v>Manchester CityManchester City</v>
      </c>
    </row>
    <row r="353">
      <c t="s" s="7" r="A353">
        <v>18</v>
      </c>
      <c s="7" r="B353">
        <v>461</v>
      </c>
      <c s="7" r="C353">
        <v>7</v>
      </c>
      <c t="s" s="7" r="D353">
        <v>120</v>
      </c>
      <c t="s" s="7" r="E353">
        <v>19</v>
      </c>
      <c t="s" s="7" r="F353">
        <v>19</v>
      </c>
      <c t="s" s="7" r="G353">
        <v>19</v>
      </c>
      <c t="str" s="65" r="H353">
        <f>HYPERLINK("http://sofifa.com/en/fifa13winter/player/147275-james-milner","J. Milner")</f>
        <v>J. Milner</v>
      </c>
      <c s="7" r="I353">
        <v>81</v>
      </c>
      <c t="s" s="7" r="J353">
        <v>120</v>
      </c>
      <c t="s" s="7" r="K353">
        <v>172</v>
      </c>
      <c t="s" s="7" r="L353">
        <v>122</v>
      </c>
      <c s="7" r="M353">
        <v>26</v>
      </c>
      <c s="26" r="N353">
        <v>13.2</v>
      </c>
      <c s="23" r="O353">
        <v>0.04</v>
      </c>
      <c s="7" r="P353"/>
      <c s="7" r="Q353"/>
      <c s="7" r="R353">
        <f>IF((P353&gt;0),O353,0)</f>
        <v>0</v>
      </c>
      <c t="str" r="S353">
        <f>CONCATENATE(F353,E353)</f>
        <v>Manchester CityManchester City</v>
      </c>
    </row>
    <row r="354">
      <c t="s" s="7" r="A354">
        <v>18</v>
      </c>
      <c s="7" r="B354">
        <v>462</v>
      </c>
      <c s="7" r="C354">
        <v>21</v>
      </c>
      <c t="s" s="7" r="D354">
        <v>128</v>
      </c>
      <c t="s" s="7" r="E354">
        <v>19</v>
      </c>
      <c t="s" s="7" r="F354">
        <v>19</v>
      </c>
      <c t="s" s="7" r="G354">
        <v>19</v>
      </c>
      <c t="str" s="65" r="H354">
        <f>HYPERLINK("http://sofifa.com/en/fifa13winter/player/147279-david-josue-jimenez-silva","David Silva")</f>
        <v>David Silva</v>
      </c>
      <c s="7" r="I354">
        <v>88</v>
      </c>
      <c t="s" s="7" r="J354">
        <v>162</v>
      </c>
      <c t="s" s="7" r="K354">
        <v>195</v>
      </c>
      <c t="s" s="7" r="L354">
        <v>163</v>
      </c>
      <c s="7" r="M354">
        <v>26</v>
      </c>
      <c s="26" r="N354">
        <v>44.2</v>
      </c>
      <c s="23" r="O354">
        <v>0.2</v>
      </c>
      <c s="7" r="P354"/>
      <c s="7" r="Q354"/>
      <c s="7" r="R354">
        <f>IF((P354&gt;0),O354,0)</f>
        <v>0</v>
      </c>
      <c t="str" r="S354">
        <f>CONCATENATE(F354,E354)</f>
        <v>Manchester CityManchester City</v>
      </c>
    </row>
    <row r="355">
      <c t="s" s="7" r="A355">
        <v>18</v>
      </c>
      <c s="7" r="B355">
        <v>463</v>
      </c>
      <c s="7" r="C355">
        <v>32</v>
      </c>
      <c t="s" s="7" r="D355">
        <v>162</v>
      </c>
      <c t="s" s="7" r="E355">
        <v>19</v>
      </c>
      <c t="s" s="7" r="F355">
        <v>19</v>
      </c>
      <c t="s" s="7" r="G355">
        <v>19</v>
      </c>
      <c t="str" s="65" r="H355">
        <f>HYPERLINK("http://sofifa.com/en/fifa13winter/player/146576-carlos-tevez","C. Tévez")</f>
        <v>C. Tévez</v>
      </c>
      <c s="7" r="I355">
        <v>86</v>
      </c>
      <c t="s" s="7" r="J355">
        <v>129</v>
      </c>
      <c t="s" s="7" r="K355">
        <v>187</v>
      </c>
      <c t="s" s="7" r="L355">
        <v>137</v>
      </c>
      <c s="7" r="M355">
        <v>28</v>
      </c>
      <c s="26" r="N355">
        <v>30.7</v>
      </c>
      <c s="23" r="O355">
        <v>0.14</v>
      </c>
      <c s="7" r="P355"/>
      <c s="7" r="Q355"/>
      <c s="7" r="R355">
        <f>IF((P355&gt;0),O355,0)</f>
        <v>0</v>
      </c>
      <c t="str" r="S355">
        <f>CONCATENATE(F355,E355)</f>
        <v>Manchester CityManchester City</v>
      </c>
    </row>
    <row r="356">
      <c t="s" s="7" r="A356">
        <v>18</v>
      </c>
      <c s="7" r="B356">
        <v>464</v>
      </c>
      <c s="7" r="C356">
        <v>16</v>
      </c>
      <c t="s" s="7" r="D356">
        <v>129</v>
      </c>
      <c t="s" s="7" r="E356">
        <v>19</v>
      </c>
      <c t="s" s="7" r="F356">
        <v>19</v>
      </c>
      <c t="s" s="7" r="G356">
        <v>19</v>
      </c>
      <c t="str" s="65" r="H356">
        <f>HYPERLINK("http://sofifa.com/en/fifa13winter/player/148155-sergio-aguero","S. Agüero")</f>
        <v>S. Agüero</v>
      </c>
      <c s="7" r="I356">
        <v>87</v>
      </c>
      <c t="s" s="7" r="J356">
        <v>129</v>
      </c>
      <c t="s" s="7" r="K356">
        <v>139</v>
      </c>
      <c t="s" s="7" r="L356">
        <v>151</v>
      </c>
      <c s="7" r="M356">
        <v>24</v>
      </c>
      <c s="26" r="N356">
        <v>39</v>
      </c>
      <c s="23" r="O356">
        <v>0.17</v>
      </c>
      <c s="7" r="P356"/>
      <c s="7" r="Q356"/>
      <c s="7" r="R356">
        <f>IF((P356&gt;0),O356,0)</f>
        <v>0</v>
      </c>
      <c t="str" r="S356">
        <f>CONCATENATE(F356,E356)</f>
        <v>Manchester CityManchester City</v>
      </c>
    </row>
    <row r="357">
      <c t="s" s="7" r="A357">
        <v>18</v>
      </c>
      <c s="7" r="B357">
        <v>465</v>
      </c>
      <c s="7" r="C357">
        <v>11</v>
      </c>
      <c t="s" s="7" r="D357">
        <v>136</v>
      </c>
      <c t="s" s="7" r="E357">
        <v>19</v>
      </c>
      <c t="s" s="7" r="F357">
        <v>19</v>
      </c>
      <c t="s" s="7" r="G357">
        <v>19</v>
      </c>
      <c t="str" s="65" r="H357">
        <f>HYPERLINK("http://sofifa.com/en/fifa13winter/player/148451-scott-sinclair","S. Sinclair")</f>
        <v>S. Sinclair</v>
      </c>
      <c s="7" r="I357">
        <v>75</v>
      </c>
      <c t="s" s="7" r="J357">
        <v>170</v>
      </c>
      <c t="s" s="7" r="K357">
        <v>159</v>
      </c>
      <c t="s" s="7" r="L357">
        <v>111</v>
      </c>
      <c s="7" r="M357">
        <v>23</v>
      </c>
      <c s="26" r="N357">
        <v>4.9</v>
      </c>
      <c s="23" r="O357">
        <v>0.012</v>
      </c>
      <c s="7" r="P357"/>
      <c s="7" r="Q357"/>
      <c s="7" r="R357">
        <f>IF((P357&gt;0),O357,0)</f>
        <v>0</v>
      </c>
      <c t="str" r="S357">
        <f>CONCATENATE(F357,E357)</f>
        <v>Manchester CityManchester City</v>
      </c>
    </row>
    <row r="358">
      <c t="s" s="7" r="A358">
        <v>18</v>
      </c>
      <c s="7" r="B358">
        <v>466</v>
      </c>
      <c s="7" r="C358">
        <v>30</v>
      </c>
      <c t="s" s="7" r="D358">
        <v>136</v>
      </c>
      <c t="s" s="7" r="E358">
        <v>19</v>
      </c>
      <c t="s" s="7" r="F358">
        <v>19</v>
      </c>
      <c t="s" s="7" r="G358">
        <v>19</v>
      </c>
      <c t="str" s="65" r="H358">
        <f>HYPERLINK("http://sofifa.com/en/fifa13winter/player/147668-costel-pantilimon","C. Pantilimon")</f>
        <v>C. Pantilimon</v>
      </c>
      <c s="7" r="I358">
        <v>74</v>
      </c>
      <c t="s" s="7" r="J358">
        <v>106</v>
      </c>
      <c t="s" s="7" r="K358">
        <v>199</v>
      </c>
      <c t="s" s="7" r="L358">
        <v>177</v>
      </c>
      <c s="7" r="M358">
        <v>25</v>
      </c>
      <c s="26" r="N358">
        <v>2.8</v>
      </c>
      <c s="23" r="O358">
        <v>0.011</v>
      </c>
      <c s="7" r="P358"/>
      <c s="7" r="Q358"/>
      <c s="7" r="R358">
        <f>IF((P358&gt;0),O358,0)</f>
        <v>0</v>
      </c>
      <c t="str" r="S358">
        <f>CONCATENATE(F358,E358)</f>
        <v>Manchester CityManchester City</v>
      </c>
    </row>
    <row r="359">
      <c t="s" s="7" r="A359">
        <v>18</v>
      </c>
      <c s="7" r="B359">
        <v>467</v>
      </c>
      <c s="7" r="C359">
        <v>13</v>
      </c>
      <c t="s" s="7" r="D359">
        <v>136</v>
      </c>
      <c t="s" s="7" r="E359">
        <v>19</v>
      </c>
      <c t="s" s="7" r="F359">
        <v>19</v>
      </c>
      <c t="s" s="7" r="G359">
        <v>19</v>
      </c>
      <c t="str" s="65" r="H359">
        <f>HYPERLINK("http://sofifa.com/en/fifa13winter/player/147220-aleksandar-kolarov","A. Kolarov")</f>
        <v>A. Kolarov</v>
      </c>
      <c s="7" r="I359">
        <v>78</v>
      </c>
      <c t="s" s="7" r="J359">
        <v>117</v>
      </c>
      <c t="s" s="7" r="K359">
        <v>155</v>
      </c>
      <c t="s" s="7" r="L359">
        <v>108</v>
      </c>
      <c s="7" r="M359">
        <v>26</v>
      </c>
      <c s="26" r="N359">
        <v>6.3</v>
      </c>
      <c s="23" r="O359">
        <v>0.019</v>
      </c>
      <c s="7" r="P359"/>
      <c s="7" r="Q359"/>
      <c s="7" r="R359">
        <f>IF((P359&gt;0),O359,0)</f>
        <v>0</v>
      </c>
      <c t="str" r="S359">
        <f>CONCATENATE(F359,E359)</f>
        <v>Manchester CityManchester City</v>
      </c>
    </row>
    <row r="360">
      <c t="s" s="7" r="A360">
        <v>18</v>
      </c>
      <c s="7" r="B360">
        <v>468</v>
      </c>
      <c s="7" r="C360">
        <v>2</v>
      </c>
      <c t="s" s="7" r="D360">
        <v>136</v>
      </c>
      <c t="s" s="7" r="E360">
        <v>19</v>
      </c>
      <c t="s" s="7" r="F360">
        <v>19</v>
      </c>
      <c t="s" s="7" r="G360">
        <v>19</v>
      </c>
      <c t="str" s="65" r="H360">
        <f>HYPERLINK("http://sofifa.com/en/fifa13winter/player/148177-micah-richards","M. Richards")</f>
        <v>M. Richards</v>
      </c>
      <c s="7" r="I360">
        <v>79</v>
      </c>
      <c t="s" s="7" r="J360">
        <v>109</v>
      </c>
      <c t="s" s="7" r="K360">
        <v>150</v>
      </c>
      <c t="s" s="7" r="L360">
        <v>108</v>
      </c>
      <c s="7" r="M360">
        <v>24</v>
      </c>
      <c s="26" r="N360">
        <v>7.4</v>
      </c>
      <c s="23" r="O360">
        <v>0.022</v>
      </c>
      <c s="7" r="P360"/>
      <c s="7" r="Q360"/>
      <c s="7" r="R360">
        <f>IF((P360&gt;0),O360,0)</f>
        <v>0</v>
      </c>
      <c t="str" r="S360">
        <f>CONCATENATE(F360,E360)</f>
        <v>Manchester CityManchester City</v>
      </c>
    </row>
    <row r="361">
      <c t="s" s="7" r="A361">
        <v>18</v>
      </c>
      <c s="7" r="B361">
        <v>469</v>
      </c>
      <c s="7" r="C361">
        <v>17</v>
      </c>
      <c t="s" s="7" r="D361">
        <v>136</v>
      </c>
      <c t="s" s="7" r="E361">
        <v>19</v>
      </c>
      <c t="s" s="7" r="F361">
        <v>19</v>
      </c>
      <c t="s" s="7" r="G361">
        <v>19</v>
      </c>
      <c t="str" s="65" r="H361">
        <f>HYPERLINK("http://sofifa.com/en/fifa13winter/player/149167-jack-rodwell","J. Rodwell")</f>
        <v>J. Rodwell</v>
      </c>
      <c s="7" r="I361">
        <v>77</v>
      </c>
      <c t="s" s="7" r="J361">
        <v>124</v>
      </c>
      <c t="s" s="7" r="K361">
        <v>134</v>
      </c>
      <c t="s" s="7" r="L361">
        <v>183</v>
      </c>
      <c s="7" r="M361">
        <v>21</v>
      </c>
      <c s="26" r="N361">
        <v>6.2</v>
      </c>
      <c s="23" r="O361">
        <v>0.015</v>
      </c>
      <c s="7" r="P361"/>
      <c s="7" r="Q361"/>
      <c s="7" r="R361">
        <f>IF((P361&gt;0),O361,0)</f>
        <v>0</v>
      </c>
      <c t="str" r="S361">
        <f>CONCATENATE(F361,E361)</f>
        <v>Manchester CityManchester City</v>
      </c>
    </row>
    <row r="362">
      <c t="s" s="7" r="A362">
        <v>18</v>
      </c>
      <c s="7" r="B362">
        <v>470</v>
      </c>
      <c s="7" r="C362">
        <v>10</v>
      </c>
      <c t="s" s="7" r="D362">
        <v>136</v>
      </c>
      <c t="s" s="7" r="E362">
        <v>19</v>
      </c>
      <c t="s" s="7" r="F362">
        <v>19</v>
      </c>
      <c t="s" s="7" r="G362">
        <v>19</v>
      </c>
      <c t="str" s="65" r="H362">
        <f>HYPERLINK("http://sofifa.com/en/fifa13winter/player/147347-edin-dzeko","E. Džeko")</f>
        <v>E. Džeko</v>
      </c>
      <c s="7" r="I362">
        <v>83</v>
      </c>
      <c t="s" s="7" r="J362">
        <v>129</v>
      </c>
      <c t="s" s="7" r="K362">
        <v>107</v>
      </c>
      <c t="s" s="7" r="L362">
        <v>156</v>
      </c>
      <c s="7" r="M362">
        <v>26</v>
      </c>
      <c s="26" r="N362">
        <v>18.2</v>
      </c>
      <c s="23" r="O362">
        <v>0.068</v>
      </c>
      <c s="7" r="P362"/>
      <c s="7" r="Q362"/>
      <c s="7" r="R362">
        <f>IF((P362&gt;0),O362,0)</f>
        <v>0</v>
      </c>
      <c t="str" r="S362">
        <f>CONCATENATE(F362,E362)</f>
        <v>Manchester CityManchester City</v>
      </c>
    </row>
    <row r="363">
      <c t="s" s="7" r="A363">
        <v>18</v>
      </c>
      <c s="7" r="B363">
        <v>471</v>
      </c>
      <c s="7" r="C363">
        <v>8</v>
      </c>
      <c t="s" s="7" r="D363">
        <v>136</v>
      </c>
      <c t="s" s="7" r="E363">
        <v>19</v>
      </c>
      <c t="s" s="7" r="F363">
        <v>19</v>
      </c>
      <c t="s" s="7" r="G363">
        <v>19</v>
      </c>
      <c t="str" s="65" r="H363">
        <f>HYPERLINK("http://sofifa.com/en/fifa13winter/player/147813-samir-nasri","S. Nasri")</f>
        <v>S. Nasri</v>
      </c>
      <c s="7" r="I363">
        <v>84</v>
      </c>
      <c t="s" s="7" r="J363">
        <v>162</v>
      </c>
      <c t="s" s="7" r="K363">
        <v>159</v>
      </c>
      <c t="s" s="7" r="L363">
        <v>151</v>
      </c>
      <c s="7" r="M363">
        <v>25</v>
      </c>
      <c s="26" r="N363">
        <v>21.2</v>
      </c>
      <c s="23" r="O363">
        <v>0.083</v>
      </c>
      <c s="7" r="P363"/>
      <c s="7" r="Q363"/>
      <c s="7" r="R363">
        <f>IF((P363&gt;0),O363,0)</f>
        <v>0</v>
      </c>
      <c t="str" r="S363">
        <f>CONCATENATE(F363,E363)</f>
        <v>Manchester CityManchester City</v>
      </c>
    </row>
    <row r="364">
      <c t="s" s="7" r="A364">
        <v>18</v>
      </c>
      <c s="7" r="B364">
        <v>472</v>
      </c>
      <c s="7" r="C364">
        <v>3</v>
      </c>
      <c t="s" s="7" r="D364">
        <v>136</v>
      </c>
      <c t="s" s="7" r="E364">
        <v>19</v>
      </c>
      <c t="s" s="7" r="F364">
        <v>19</v>
      </c>
      <c t="s" s="7" r="G364">
        <v>19</v>
      </c>
      <c t="str" s="65" r="H364">
        <f>HYPERLINK("http://sofifa.com/en/fifa13winter/player/145652-maicon-douglas-sisenando","Maicon")</f>
        <v>Maicon</v>
      </c>
      <c s="7" r="I364">
        <v>79</v>
      </c>
      <c t="s" s="7" r="J364">
        <v>109</v>
      </c>
      <c t="s" s="7" r="K364">
        <v>167</v>
      </c>
      <c t="s" s="7" r="L364">
        <v>138</v>
      </c>
      <c s="7" r="M364">
        <v>31</v>
      </c>
      <c s="26" r="N364">
        <v>5.8</v>
      </c>
      <c s="23" r="O364">
        <v>0.025</v>
      </c>
      <c s="7" r="P364"/>
      <c s="7" r="Q364"/>
      <c s="7" r="R364">
        <f>IF((P364&gt;0),O364,0)</f>
        <v>0</v>
      </c>
      <c t="str" r="S364">
        <f>CONCATENATE(F364,E364)</f>
        <v>Manchester CityManchester City</v>
      </c>
    </row>
    <row r="365">
      <c t="s" s="7" r="A365">
        <v>18</v>
      </c>
      <c s="7" r="B365">
        <v>473</v>
      </c>
      <c s="7" r="C365">
        <v>25</v>
      </c>
      <c t="s" s="7" r="D365">
        <v>136</v>
      </c>
      <c t="s" s="7" r="E365">
        <v>19</v>
      </c>
      <c t="s" s="7" r="F365">
        <v>19</v>
      </c>
      <c t="s" s="7" r="G365">
        <v>19</v>
      </c>
      <c t="str" s="65" r="H365">
        <f>HYPERLINK("http://sofifa.com/en/fifa13winter/player/147030-fernando-luiz-rosa","Fernandinho")</f>
        <v>Fernandinho</v>
      </c>
      <c s="7" r="I365">
        <v>79</v>
      </c>
      <c t="s" s="7" r="J365">
        <v>124</v>
      </c>
      <c t="s" s="7" r="K365">
        <v>172</v>
      </c>
      <c t="s" s="7" r="L365">
        <v>125</v>
      </c>
      <c s="7" r="M365">
        <v>27</v>
      </c>
      <c s="26" r="N365">
        <v>6.9</v>
      </c>
      <c s="23" r="O365">
        <v>0.022</v>
      </c>
      <c s="7" r="P365"/>
      <c s="7" r="Q365"/>
      <c s="7" r="R365">
        <f>IF((P365&gt;0),O365,0)</f>
        <v>0</v>
      </c>
      <c t="str" r="S365">
        <f>CONCATENATE(F365,E365)</f>
        <v>Manchester CityManchester City</v>
      </c>
    </row>
    <row r="366">
      <c t="s" s="7" r="A366">
        <v>18</v>
      </c>
      <c s="7" r="B366">
        <v>474</v>
      </c>
      <c s="7" r="C366">
        <v>6</v>
      </c>
      <c t="s" s="7" r="D366">
        <v>136</v>
      </c>
      <c t="s" s="7" r="E366">
        <v>19</v>
      </c>
      <c t="s" s="7" r="F366">
        <v>19</v>
      </c>
      <c t="s" s="7" r="G366">
        <v>19</v>
      </c>
      <c t="str" s="65" r="H366">
        <f>HYPERLINK("http://sofifa.com/en/fifa13winter/player/146038-joleon-lescott","J. Lescott")</f>
        <v>J. Lescott</v>
      </c>
      <c s="7" r="I366">
        <v>81</v>
      </c>
      <c t="s" s="7" r="J366">
        <v>113</v>
      </c>
      <c t="s" s="7" r="K366">
        <v>134</v>
      </c>
      <c t="s" s="7" r="L366">
        <v>108</v>
      </c>
      <c s="7" r="M366">
        <v>30</v>
      </c>
      <c s="26" r="N366">
        <v>10.3</v>
      </c>
      <c s="23" r="O366">
        <v>0.045</v>
      </c>
      <c s="7" r="P366"/>
      <c s="7" r="Q366"/>
      <c s="7" r="R366">
        <f>IF((P366&gt;0),O366,0)</f>
        <v>0</v>
      </c>
      <c t="str" r="S366">
        <f>CONCATENATE(F366,E366)</f>
        <v>Manchester CityManchester City</v>
      </c>
    </row>
    <row r="367">
      <c t="s" s="7" r="A367">
        <v>18</v>
      </c>
      <c s="7" r="B367">
        <v>475</v>
      </c>
      <c s="7" r="C367">
        <v>26</v>
      </c>
      <c t="s" s="7" r="D367">
        <v>136</v>
      </c>
      <c t="s" s="7" r="E367">
        <v>19</v>
      </c>
      <c t="s" s="7" r="F367">
        <v>19</v>
      </c>
      <c t="s" s="7" r="G367">
        <v>19</v>
      </c>
      <c t="str" s="65" r="H367">
        <f>HYPERLINK("http://sofifa.com/en/fifa13winter/player/147231-jesus-navas-gonzalez","Jesús Navas")</f>
        <v>Jesús Navas</v>
      </c>
      <c s="7" r="I367">
        <v>85</v>
      </c>
      <c t="s" s="7" r="J367">
        <v>157</v>
      </c>
      <c t="s" s="7" r="K367">
        <v>121</v>
      </c>
      <c t="s" s="7" r="L367">
        <v>127</v>
      </c>
      <c s="7" r="M367">
        <v>26</v>
      </c>
      <c s="26" r="N367">
        <v>24.6</v>
      </c>
      <c s="23" r="O367">
        <v>0.1</v>
      </c>
      <c s="7" r="P367"/>
      <c s="7" r="Q367"/>
      <c s="7" r="R367">
        <f>IF((P367&gt;0),O367,0)</f>
        <v>0</v>
      </c>
      <c t="str" r="S367">
        <f>CONCATENATE(F367,E367)</f>
        <v>Manchester CityManchester City</v>
      </c>
    </row>
    <row r="368">
      <c t="s" s="7" r="A368">
        <v>18</v>
      </c>
      <c s="7" r="B368">
        <v>476</v>
      </c>
      <c s="7" r="C368">
        <v>14</v>
      </c>
      <c t="s" s="7" r="D368">
        <v>136</v>
      </c>
      <c t="s" s="7" r="E368">
        <v>19</v>
      </c>
      <c t="s" s="7" r="F368">
        <v>19</v>
      </c>
      <c t="s" s="7" r="G368">
        <v>19</v>
      </c>
      <c t="str" s="65" r="H368">
        <f>HYPERLINK("http://sofifa.com/en/fifa13winter/player/147675-fran-javier-garcia-fernandez","Javi García")</f>
        <v>Javi García</v>
      </c>
      <c s="7" r="I368">
        <v>79</v>
      </c>
      <c t="s" s="7" r="J368">
        <v>154</v>
      </c>
      <c t="s" s="7" r="K368">
        <v>173</v>
      </c>
      <c t="s" s="7" r="L368">
        <v>179</v>
      </c>
      <c s="7" r="M368">
        <v>25</v>
      </c>
      <c s="26" r="N368">
        <v>7.3</v>
      </c>
      <c s="23" r="O368">
        <v>0.022</v>
      </c>
      <c s="7" r="P368"/>
      <c s="7" r="Q368"/>
      <c s="7" r="R368">
        <f>IF((P368&gt;0),O368,0)</f>
        <v>0</v>
      </c>
      <c t="str" r="S368">
        <f>CONCATENATE(F368,E368)</f>
        <v>Manchester CityManchester City</v>
      </c>
    </row>
    <row r="369">
      <c t="s" s="7" r="A369">
        <v>18</v>
      </c>
      <c s="7" r="B369">
        <v>477</v>
      </c>
      <c s="7" r="C369">
        <v>29</v>
      </c>
      <c t="s" s="7" r="D369">
        <v>147</v>
      </c>
      <c t="s" s="7" r="E369">
        <v>19</v>
      </c>
      <c t="s" s="7" r="F369">
        <v>19</v>
      </c>
      <c t="s" s="7" r="G369">
        <v>19</v>
      </c>
      <c t="str" s="65" r="H369">
        <f>HYPERLINK("http://sofifa.com/en/fifa13winter/player/144293-richard-wright","R. Wright")</f>
        <v>R. Wright</v>
      </c>
      <c s="7" r="I369">
        <v>62</v>
      </c>
      <c t="s" s="7" r="J369">
        <v>106</v>
      </c>
      <c t="s" s="7" r="K369">
        <v>134</v>
      </c>
      <c t="s" s="7" r="L369">
        <v>191</v>
      </c>
      <c s="7" r="M369">
        <v>34</v>
      </c>
      <c s="26" r="N369">
        <v>0.4</v>
      </c>
      <c s="23" r="O369">
        <v>0.005</v>
      </c>
      <c s="7" r="P369"/>
      <c s="7" r="Q369"/>
      <c s="7" r="R369">
        <f>IF((P369&gt;0),O369,0)</f>
        <v>0</v>
      </c>
      <c t="str" r="S369">
        <f>CONCATENATE(F369,E369)</f>
        <v>Manchester CityManchester City</v>
      </c>
    </row>
    <row r="370">
      <c t="s" s="7" r="A370">
        <v>18</v>
      </c>
      <c s="7" r="B370">
        <v>478</v>
      </c>
      <c s="7" r="C370">
        <v>36</v>
      </c>
      <c t="s" s="7" r="D370">
        <v>147</v>
      </c>
      <c t="s" s="7" r="E370">
        <v>19</v>
      </c>
      <c t="s" s="7" r="F370">
        <v>19</v>
      </c>
      <c t="s" s="7" r="G370">
        <v>19</v>
      </c>
      <c t="str" s="65" r="H370">
        <f>HYPERLINK("http://sofifa.com/en/fifa13winter/player/150199-denis-suarez-fernandez","Suárez")</f>
        <v>Suárez</v>
      </c>
      <c s="7" r="I370">
        <v>60</v>
      </c>
      <c t="s" s="7" r="J370">
        <v>162</v>
      </c>
      <c t="s" s="7" r="K370">
        <v>150</v>
      </c>
      <c t="s" s="7" r="L370">
        <v>111</v>
      </c>
      <c s="7" r="M370">
        <v>18</v>
      </c>
      <c s="26" r="N370">
        <v>0.6</v>
      </c>
      <c s="23" r="O370">
        <v>0.002</v>
      </c>
      <c s="7" r="P370"/>
      <c s="7" r="Q370"/>
      <c s="7" r="R370">
        <f>IF((P370&gt;0),O370,0)</f>
        <v>0</v>
      </c>
      <c t="str" r="S370">
        <f>CONCATENATE(F370,E370)</f>
        <v>Manchester CityManchester City</v>
      </c>
    </row>
    <row r="371">
      <c t="s" s="7" r="A371">
        <v>18</v>
      </c>
      <c s="7" r="B371">
        <v>479</v>
      </c>
      <c s="7" r="C371">
        <v>47</v>
      </c>
      <c t="s" s="7" r="D371">
        <v>147</v>
      </c>
      <c t="s" s="7" r="E371">
        <v>19</v>
      </c>
      <c t="s" s="7" r="F371">
        <v>19</v>
      </c>
      <c t="s" s="7" r="G371">
        <v>19</v>
      </c>
      <c t="str" s="65" r="H371">
        <f>HYPERLINK("http://sofifa.com/en/fifa13winter/player/149788-harry-bunn","H. Bunn")</f>
        <v>H. Bunn</v>
      </c>
      <c s="7" r="I371">
        <v>60</v>
      </c>
      <c t="s" s="7" r="J371">
        <v>129</v>
      </c>
      <c t="s" s="7" r="K371">
        <v>139</v>
      </c>
      <c t="s" s="7" r="L371">
        <v>122</v>
      </c>
      <c s="7" r="M371">
        <v>19</v>
      </c>
      <c s="26" r="N371">
        <v>0.7</v>
      </c>
      <c s="23" r="O371">
        <v>0.003</v>
      </c>
      <c s="7" r="P371"/>
      <c s="7" r="Q371"/>
      <c s="7" r="R371">
        <f>IF((P371&gt;0),O371,0)</f>
        <v>0</v>
      </c>
      <c t="str" r="S371">
        <f>CONCATENATE(F371,E371)</f>
        <v>Manchester CityManchester City</v>
      </c>
    </row>
    <row r="372">
      <c t="s" s="7" r="A372">
        <v>18</v>
      </c>
      <c s="7" r="B372">
        <v>480</v>
      </c>
      <c s="7" r="C372">
        <v>57</v>
      </c>
      <c t="s" s="7" r="D372">
        <v>147</v>
      </c>
      <c t="s" s="7" r="E372">
        <v>19</v>
      </c>
      <c t="s" s="7" r="F372">
        <v>19</v>
      </c>
      <c t="s" s="7" r="G372">
        <v>19</v>
      </c>
      <c t="str" s="65" r="H372">
        <f>HYPERLINK("http://sofifa.com/en/fifa13winter/player/149459-reece-wabara","R. Wabara")</f>
        <v>R. Wabara</v>
      </c>
      <c s="7" r="I372">
        <v>63</v>
      </c>
      <c t="s" s="7" r="J372">
        <v>109</v>
      </c>
      <c t="s" s="7" r="K372">
        <v>143</v>
      </c>
      <c t="s" s="7" r="L372">
        <v>158</v>
      </c>
      <c s="7" r="M372">
        <v>20</v>
      </c>
      <c s="26" r="N372">
        <v>0.8</v>
      </c>
      <c s="23" r="O372">
        <v>0.003</v>
      </c>
      <c s="7" r="P372"/>
      <c s="7" r="Q372"/>
      <c s="7" r="R372">
        <f>IF((P372&gt;0),O372,0)</f>
        <v>0</v>
      </c>
      <c t="str" r="S372">
        <f>CONCATENATE(F372,E372)</f>
        <v>Manchester CityManchester City</v>
      </c>
    </row>
    <row r="373">
      <c t="s" s="7" r="A373">
        <v>18</v>
      </c>
      <c s="7" r="B373">
        <v>481</v>
      </c>
      <c s="7" r="C373">
        <v>62</v>
      </c>
      <c t="s" s="7" r="D373">
        <v>147</v>
      </c>
      <c t="s" s="7" r="E373">
        <v>19</v>
      </c>
      <c t="s" s="7" r="F373">
        <v>19</v>
      </c>
      <c t="s" s="7" r="G373">
        <v>19</v>
      </c>
      <c t="str" s="65" r="H373">
        <f>HYPERLINK("http://sofifa.com/en/fifa13winter/player/149778-abdul-razak","A. Razak")</f>
        <v>A. Razak</v>
      </c>
      <c s="7" r="I373">
        <v>62</v>
      </c>
      <c t="s" s="7" r="J373">
        <v>162</v>
      </c>
      <c t="s" s="7" r="K373">
        <v>114</v>
      </c>
      <c t="s" s="7" r="L373">
        <v>137</v>
      </c>
      <c s="7" r="M373">
        <v>19</v>
      </c>
      <c s="26" r="N373">
        <v>0.9</v>
      </c>
      <c s="23" r="O373">
        <v>0.003</v>
      </c>
      <c s="7" r="P373"/>
      <c s="7" r="Q373"/>
      <c s="7" r="R373">
        <f>IF((P373&gt;0),O373,0)</f>
        <v>0</v>
      </c>
      <c t="str" r="S373">
        <f>CONCATENATE(F373,E373)</f>
        <v>Manchester CityManchester City</v>
      </c>
    </row>
    <row r="374">
      <c t="s" s="7" r="A374">
        <v>18</v>
      </c>
      <c s="7" r="B374">
        <v>482</v>
      </c>
      <c s="7" r="C374">
        <v>61</v>
      </c>
      <c t="s" s="7" r="D374">
        <v>147</v>
      </c>
      <c t="s" s="7" r="E374">
        <v>19</v>
      </c>
      <c t="s" s="7" r="F374">
        <v>19</v>
      </c>
      <c t="s" s="7" r="G374">
        <v>19</v>
      </c>
      <c t="str" s="65" r="H374">
        <f>HYPERLINK("http://sofifa.com/en/fifa13winter/player/149592-jeremy-helan","J. Hélan")</f>
        <v>J. Hélan</v>
      </c>
      <c s="7" r="I374">
        <v>65</v>
      </c>
      <c t="s" s="7" r="J374">
        <v>128</v>
      </c>
      <c t="s" s="7" r="K374">
        <v>110</v>
      </c>
      <c t="s" s="7" r="L374">
        <v>119</v>
      </c>
      <c s="7" r="M374">
        <v>20</v>
      </c>
      <c s="26" r="N374">
        <v>1.1</v>
      </c>
      <c s="23" r="O374">
        <v>0.004</v>
      </c>
      <c s="7" r="P374"/>
      <c s="7" r="Q374"/>
      <c s="7" r="R374">
        <f>IF((P374&gt;0),O374,0)</f>
        <v>0</v>
      </c>
      <c t="str" r="S374">
        <f>CONCATENATE(F374,E374)</f>
        <v>Manchester CityManchester City</v>
      </c>
    </row>
    <row r="375">
      <c t="s" s="7" r="A375">
        <v>18</v>
      </c>
      <c s="7" r="B375">
        <v>483</v>
      </c>
      <c s="7" r="C375">
        <v>60</v>
      </c>
      <c t="s" s="7" r="D375">
        <v>147</v>
      </c>
      <c t="s" s="7" r="E375">
        <v>19</v>
      </c>
      <c t="s" s="7" r="F375">
        <v>19</v>
      </c>
      <c t="s" s="7" r="G375">
        <v>19</v>
      </c>
      <c t="str" s="65" r="H375">
        <f>HYPERLINK("http://sofifa.com/en/fifa13winter/player/149568-john-guidetti","J. Guidetti")</f>
        <v>J. Guidetti</v>
      </c>
      <c s="7" r="I375">
        <v>73</v>
      </c>
      <c t="s" s="7" r="J375">
        <v>129</v>
      </c>
      <c t="s" s="7" r="K375">
        <v>132</v>
      </c>
      <c t="s" s="7" r="L375">
        <v>158</v>
      </c>
      <c s="7" r="M375">
        <v>20</v>
      </c>
      <c s="26" r="N375">
        <v>4</v>
      </c>
      <c s="23" r="O375">
        <v>0.008</v>
      </c>
      <c s="7" r="P375"/>
      <c s="7" r="Q375"/>
      <c s="7" r="R375">
        <f>IF((P375&gt;0),O375,0)</f>
        <v>0</v>
      </c>
      <c t="str" r="S375">
        <f>CONCATENATE(F375,E375)</f>
        <v>Manchester CityManchester City</v>
      </c>
    </row>
    <row r="376">
      <c t="s" s="7" r="A376">
        <v>18</v>
      </c>
      <c s="7" r="B376">
        <v>484</v>
      </c>
      <c s="7" r="C376">
        <v>38</v>
      </c>
      <c t="s" s="7" r="D376">
        <v>147</v>
      </c>
      <c t="s" s="7" r="E376">
        <v>19</v>
      </c>
      <c t="s" s="7" r="F376">
        <v>19</v>
      </c>
      <c t="s" s="7" r="G376">
        <v>19</v>
      </c>
      <c t="str" s="65" r="H376">
        <f>HYPERLINK("http://sofifa.com/en/fifa13winter/player/149064-dedryck-boyata","D. Boyata")</f>
        <v>D. Boyata</v>
      </c>
      <c s="7" r="I376">
        <v>70</v>
      </c>
      <c t="s" s="7" r="J376">
        <v>113</v>
      </c>
      <c t="s" s="7" r="K376">
        <v>155</v>
      </c>
      <c t="s" s="7" r="L376">
        <v>183</v>
      </c>
      <c s="7" r="M376">
        <v>21</v>
      </c>
      <c s="26" r="N376">
        <v>2</v>
      </c>
      <c s="23" r="O376">
        <v>0.006</v>
      </c>
      <c s="7" r="P376"/>
      <c s="7" r="Q376"/>
      <c s="7" r="R376">
        <f>IF((P376&gt;0),O376,0)</f>
        <v>0</v>
      </c>
      <c t="str" r="S376">
        <f>CONCATENATE(F376,E376)</f>
        <v>Manchester CityManchester City</v>
      </c>
    </row>
    <row r="377">
      <c t="s" s="7" r="A377">
        <v>18</v>
      </c>
      <c s="7" r="B377">
        <v>485</v>
      </c>
      <c s="7" r="C377">
        <v>28</v>
      </c>
      <c t="s" s="7" r="D377">
        <v>147</v>
      </c>
      <c t="s" s="7" r="E377">
        <v>19</v>
      </c>
      <c t="s" s="7" r="F377">
        <v>19</v>
      </c>
      <c t="s" s="7" r="G377">
        <v>19</v>
      </c>
      <c t="str" s="65" r="H377">
        <f>HYPERLINK("http://sofifa.com/en/fifa13winter/player/145523-kolo-toure","K. Touré")</f>
        <v>K. Touré</v>
      </c>
      <c s="7" r="I377">
        <v>80</v>
      </c>
      <c t="s" s="7" r="J377">
        <v>113</v>
      </c>
      <c t="s" s="7" r="K377">
        <v>110</v>
      </c>
      <c t="s" s="7" r="L377">
        <v>137</v>
      </c>
      <c s="7" r="M377">
        <v>31</v>
      </c>
      <c s="26" r="N377">
        <v>7.6</v>
      </c>
      <c s="23" r="O377">
        <v>0.035</v>
      </c>
      <c s="7" r="P377"/>
      <c s="7" r="Q377"/>
      <c s="7" r="R377">
        <f>IF((P377&gt;0),O377,0)</f>
        <v>0</v>
      </c>
      <c t="str" r="S377">
        <f>CONCATENATE(F377,E377)</f>
        <v>Manchester CityManchester City</v>
      </c>
    </row>
    <row r="378">
      <c t="s" s="7" r="A378">
        <v>18</v>
      </c>
      <c s="7" r="B378">
        <v>486</v>
      </c>
      <c s="7" r="C378">
        <v>64</v>
      </c>
      <c t="s" s="7" r="D378">
        <v>147</v>
      </c>
      <c t="s" s="7" r="E378">
        <v>19</v>
      </c>
      <c t="s" s="7" r="F378">
        <v>19</v>
      </c>
      <c t="s" s="7" r="G378">
        <v>19</v>
      </c>
      <c t="str" s="65" r="H378">
        <f>HYPERLINK("http://sofifa.com/en/fifa13winter/player/150920-marcos-paulo-mesquita-lopes","Marcos Lopes")</f>
        <v>Marcos Lopes</v>
      </c>
      <c s="7" r="I378">
        <v>62</v>
      </c>
      <c t="s" s="7" r="J378">
        <v>162</v>
      </c>
      <c t="s" s="7" r="K378">
        <v>182</v>
      </c>
      <c t="s" s="7" r="L378">
        <v>111</v>
      </c>
      <c s="7" r="M378">
        <v>16</v>
      </c>
      <c s="26" r="N378">
        <v>0.9</v>
      </c>
      <c s="23" r="O378">
        <v>0.003</v>
      </c>
      <c s="7" r="P378"/>
      <c s="7" r="Q378"/>
      <c s="7" r="R378">
        <f>IF((P378&gt;0),O378,0)</f>
        <v>0</v>
      </c>
      <c t="str" r="S378">
        <f>CONCATENATE(F378,E378)</f>
        <v>Manchester CityManchester City</v>
      </c>
    </row>
    <row r="379">
      <c t="s" s="7" r="A379">
        <v>23</v>
      </c>
      <c s="7" r="B379">
        <v>133</v>
      </c>
      <c s="7" r="C379">
        <v>24</v>
      </c>
      <c t="s" s="7" r="D379">
        <v>106</v>
      </c>
      <c t="s" s="7" r="E379">
        <v>24</v>
      </c>
      <c t="s" s="7" r="F379">
        <v>24</v>
      </c>
      <c t="s" s="7" r="G379">
        <v>24</v>
      </c>
      <c t="str" s="65" r="H379">
        <f>HYPERLINK("http://sofifa.com/en/fifa13winter/player/144779-tim-howard","T. Howard")</f>
        <v>T. Howard</v>
      </c>
      <c s="7" r="I379">
        <v>81</v>
      </c>
      <c t="s" s="7" r="J379">
        <v>106</v>
      </c>
      <c t="s" s="7" r="K379">
        <v>144</v>
      </c>
      <c t="s" s="7" r="L379">
        <v>175</v>
      </c>
      <c s="7" r="M379">
        <v>33</v>
      </c>
      <c s="26" r="N379">
        <v>6.7</v>
      </c>
      <c s="23" r="O379">
        <v>0.05</v>
      </c>
      <c s="7" r="P379"/>
      <c s="7" r="Q379"/>
      <c s="7" r="R379">
        <f>IF((P379&gt;0),O379,0)</f>
        <v>0</v>
      </c>
      <c t="str" r="S379">
        <f>CONCATENATE(F379,E379)</f>
        <v>EvertonEverton</v>
      </c>
    </row>
    <row r="380">
      <c t="s" s="7" r="A380">
        <v>23</v>
      </c>
      <c s="7" r="B380">
        <v>134</v>
      </c>
      <c s="7" r="C380">
        <v>23</v>
      </c>
      <c t="s" s="7" r="D380">
        <v>109</v>
      </c>
      <c t="s" s="7" r="E380">
        <v>24</v>
      </c>
      <c t="s" s="7" r="F380">
        <v>24</v>
      </c>
      <c t="s" s="7" r="G380">
        <v>24</v>
      </c>
      <c t="str" s="65" r="H380">
        <f>HYPERLINK("http://sofifa.com/en/fifa13winter/player/148286-seamus-coleman","S. Coleman")</f>
        <v>S. Coleman</v>
      </c>
      <c s="7" r="I380">
        <v>72</v>
      </c>
      <c t="s" s="7" r="J380">
        <v>109</v>
      </c>
      <c t="s" s="7" r="K380">
        <v>159</v>
      </c>
      <c t="s" s="7" r="L380">
        <v>138</v>
      </c>
      <c s="7" r="M380">
        <v>23</v>
      </c>
      <c s="26" r="N380">
        <v>2.6</v>
      </c>
      <c s="23" r="O380">
        <v>0.008</v>
      </c>
      <c s="7" r="P380"/>
      <c s="7" r="Q380"/>
      <c s="7" r="R380">
        <f>IF((P380&gt;0),O380,0)</f>
        <v>0</v>
      </c>
      <c t="str" r="S380">
        <f>CONCATENATE(F380,E380)</f>
        <v>EvertonEverton</v>
      </c>
    </row>
    <row r="381">
      <c t="s" s="7" r="A381">
        <v>23</v>
      </c>
      <c s="7" r="B381">
        <v>135</v>
      </c>
      <c s="7" r="C381">
        <v>6</v>
      </c>
      <c t="s" s="7" r="D381">
        <v>112</v>
      </c>
      <c t="s" s="7" r="E381">
        <v>24</v>
      </c>
      <c t="s" s="7" r="F381">
        <v>24</v>
      </c>
      <c t="s" s="7" r="G381">
        <v>24</v>
      </c>
      <c t="str" s="65" r="H381">
        <f>HYPERLINK("http://sofifa.com/en/fifa13winter/player/146039-phil-jagielka","P. Jagielka")</f>
        <v>P. Jagielka</v>
      </c>
      <c s="7" r="I381">
        <v>80</v>
      </c>
      <c t="s" s="7" r="J381">
        <v>113</v>
      </c>
      <c t="s" s="7" r="K381">
        <v>114</v>
      </c>
      <c t="s" s="7" r="L381">
        <v>192</v>
      </c>
      <c s="7" r="M381">
        <v>30</v>
      </c>
      <c s="26" r="N381">
        <v>8.1</v>
      </c>
      <c s="23" r="O381">
        <v>0.034</v>
      </c>
      <c s="7" r="P381"/>
      <c s="7" r="Q381"/>
      <c s="7" r="R381">
        <f>IF((P381&gt;0),O381,0)</f>
        <v>0</v>
      </c>
      <c t="str" r="S381">
        <f>CONCATENATE(F381,E381)</f>
        <v>EvertonEverton</v>
      </c>
    </row>
    <row r="382">
      <c t="s" s="7" r="A382">
        <v>23</v>
      </c>
      <c s="7" r="B382">
        <v>136</v>
      </c>
      <c s="7" r="C382">
        <v>15</v>
      </c>
      <c t="s" s="7" r="D382">
        <v>116</v>
      </c>
      <c t="s" s="7" r="E382">
        <v>24</v>
      </c>
      <c t="s" s="7" r="F382">
        <v>24</v>
      </c>
      <c t="s" s="7" r="G382">
        <v>24</v>
      </c>
      <c t="str" s="65" r="H382">
        <f>HYPERLINK("http://sofifa.com/en/fifa13winter/player/144334-sylvain-distin","S. Distin")</f>
        <v>S. Distin</v>
      </c>
      <c s="7" r="I382">
        <v>77</v>
      </c>
      <c t="s" s="7" r="J382">
        <v>113</v>
      </c>
      <c t="s" s="7" r="K382">
        <v>165</v>
      </c>
      <c t="s" s="7" r="L382">
        <v>175</v>
      </c>
      <c s="7" r="M382">
        <v>34</v>
      </c>
      <c s="26" r="N382">
        <v>3.9</v>
      </c>
      <c s="23" r="O382">
        <v>0.021</v>
      </c>
      <c s="7" r="P382"/>
      <c s="7" r="Q382"/>
      <c s="7" r="R382">
        <f>IF((P382&gt;0),O382,0)</f>
        <v>0</v>
      </c>
      <c t="str" r="S382">
        <f>CONCATENATE(F382,E382)</f>
        <v>EvertonEverton</v>
      </c>
    </row>
    <row r="383">
      <c t="s" s="7" r="A383">
        <v>23</v>
      </c>
      <c s="7" r="B383">
        <v>137</v>
      </c>
      <c s="7" r="C383">
        <v>3</v>
      </c>
      <c t="s" s="7" r="D383">
        <v>117</v>
      </c>
      <c t="s" s="7" r="E383">
        <v>24</v>
      </c>
      <c t="s" s="7" r="F383">
        <v>24</v>
      </c>
      <c t="s" s="7" r="G383">
        <v>24</v>
      </c>
      <c t="str" s="65" r="H383">
        <f>HYPERLINK("http://sofifa.com/en/fifa13winter/player/146886-leighton-baines","L. Baines")</f>
        <v>L. Baines</v>
      </c>
      <c s="7" r="I383">
        <v>82</v>
      </c>
      <c t="s" s="7" r="J383">
        <v>117</v>
      </c>
      <c t="s" s="7" r="K383">
        <v>121</v>
      </c>
      <c t="s" s="7" r="L383">
        <v>122</v>
      </c>
      <c s="7" r="M383">
        <v>27</v>
      </c>
      <c s="26" r="N383">
        <v>12.3</v>
      </c>
      <c s="23" r="O383">
        <v>0.053</v>
      </c>
      <c s="7" r="P383"/>
      <c s="7" r="Q383"/>
      <c s="7" r="R383">
        <f>IF((P383&gt;0),O383,0)</f>
        <v>0</v>
      </c>
      <c t="str" r="S383">
        <f>CONCATENATE(F383,E383)</f>
        <v>EvertonEverton</v>
      </c>
    </row>
    <row r="384">
      <c t="s" s="7" r="A384">
        <v>23</v>
      </c>
      <c s="7" r="B384">
        <v>138</v>
      </c>
      <c s="7" r="C384">
        <v>11</v>
      </c>
      <c t="s" s="7" r="D384">
        <v>120</v>
      </c>
      <c t="s" s="7" r="E384">
        <v>24</v>
      </c>
      <c t="s" s="7" r="F384">
        <v>24</v>
      </c>
      <c t="s" s="7" r="G384">
        <v>24</v>
      </c>
      <c t="str" s="65" r="H384">
        <f>HYPERLINK("http://sofifa.com/en/fifa13winter/player/147914-kevin-mirallas","K. Mirallas")</f>
        <v>K. Mirallas</v>
      </c>
      <c s="7" r="I384">
        <v>80</v>
      </c>
      <c t="s" s="7" r="J384">
        <v>120</v>
      </c>
      <c t="s" s="7" r="K384">
        <v>118</v>
      </c>
      <c t="s" s="7" r="L384">
        <v>122</v>
      </c>
      <c s="7" r="M384">
        <v>24</v>
      </c>
      <c s="26" r="N384">
        <v>10.3</v>
      </c>
      <c s="23" r="O384">
        <v>0.03</v>
      </c>
      <c s="7" r="P384"/>
      <c s="7" r="Q384"/>
      <c s="7" r="R384">
        <f>IF((P384&gt;0),O384,0)</f>
        <v>0</v>
      </c>
      <c t="str" r="S384">
        <f>CONCATENATE(F384,E384)</f>
        <v>EvertonEverton</v>
      </c>
    </row>
    <row r="385">
      <c t="s" s="7" r="A385">
        <v>23</v>
      </c>
      <c s="7" r="B385">
        <v>139</v>
      </c>
      <c s="7" r="C385">
        <v>4</v>
      </c>
      <c t="s" s="7" r="D385">
        <v>123</v>
      </c>
      <c t="s" s="7" r="E385">
        <v>24</v>
      </c>
      <c t="s" s="7" r="F385">
        <v>24</v>
      </c>
      <c t="s" s="7" r="G385">
        <v>24</v>
      </c>
      <c t="str" s="65" r="H385">
        <f>HYPERLINK("http://sofifa.com/en/fifa13winter/player/147934-darron-gibson","D. Gibson")</f>
        <v>D. Gibson</v>
      </c>
      <c s="7" r="I385">
        <v>76</v>
      </c>
      <c t="s" s="7" r="J385">
        <v>124</v>
      </c>
      <c t="s" s="7" r="K385">
        <v>110</v>
      </c>
      <c t="s" s="7" r="L385">
        <v>153</v>
      </c>
      <c s="7" r="M385">
        <v>24</v>
      </c>
      <c s="26" r="N385">
        <v>5</v>
      </c>
      <c s="23" r="O385">
        <v>0.015</v>
      </c>
      <c s="7" r="P385"/>
      <c s="7" r="Q385"/>
      <c s="7" r="R385">
        <f>IF((P385&gt;0),O385,0)</f>
        <v>0</v>
      </c>
      <c t="str" r="S385">
        <f>CONCATENATE(F385,E385)</f>
        <v>EvertonEverton</v>
      </c>
    </row>
    <row r="386">
      <c t="s" s="7" r="A386">
        <v>23</v>
      </c>
      <c s="7" r="B386">
        <v>140</v>
      </c>
      <c s="7" r="C386">
        <v>21</v>
      </c>
      <c t="s" s="7" r="D386">
        <v>126</v>
      </c>
      <c t="s" s="7" r="E386">
        <v>24</v>
      </c>
      <c t="s" s="7" r="F386">
        <v>24</v>
      </c>
      <c t="s" s="7" r="G386">
        <v>24</v>
      </c>
      <c t="str" s="65" r="H386">
        <f>HYPERLINK("http://sofifa.com/en/fifa13winter/player/145582-leon-osman","L. Osman")</f>
        <v>L. Osman</v>
      </c>
      <c s="7" r="I386">
        <v>78</v>
      </c>
      <c t="s" s="7" r="J386">
        <v>162</v>
      </c>
      <c t="s" s="7" r="K386">
        <v>130</v>
      </c>
      <c t="s" s="7" r="L386">
        <v>141</v>
      </c>
      <c s="7" r="M386">
        <v>31</v>
      </c>
      <c s="26" r="N386">
        <v>5.9</v>
      </c>
      <c s="23" r="O386">
        <v>0.022</v>
      </c>
      <c s="7" r="P386"/>
      <c s="7" r="Q386"/>
      <c s="7" r="R386">
        <f>IF((P386&gt;0),O386,0)</f>
        <v>0</v>
      </c>
      <c t="str" r="S386">
        <f>CONCATENATE(F386,E386)</f>
        <v>EvertonEverton</v>
      </c>
    </row>
    <row r="387">
      <c t="s" s="7" r="A387">
        <v>23</v>
      </c>
      <c s="7" r="B387">
        <v>141</v>
      </c>
      <c s="7" r="C387">
        <v>22</v>
      </c>
      <c t="s" s="7" r="D387">
        <v>128</v>
      </c>
      <c t="s" s="7" r="E387">
        <v>24</v>
      </c>
      <c t="s" s="7" r="F387">
        <v>24</v>
      </c>
      <c t="s" s="7" r="G387">
        <v>24</v>
      </c>
      <c t="str" s="65" r="H387">
        <f>HYPERLINK("http://sofifa.com/en/fifa13winter/player/145886-steven-pienaar","S. Pienaar")</f>
        <v>S. Pienaar</v>
      </c>
      <c s="7" r="I387">
        <v>80</v>
      </c>
      <c t="s" s="7" r="J387">
        <v>128</v>
      </c>
      <c t="s" s="7" r="K387">
        <v>121</v>
      </c>
      <c t="s" s="7" r="L387">
        <v>125</v>
      </c>
      <c s="7" r="M387">
        <v>30</v>
      </c>
      <c s="26" r="N387">
        <v>8.8</v>
      </c>
      <c s="23" r="O387">
        <v>0.034</v>
      </c>
      <c s="7" r="P387"/>
      <c s="7" r="Q387"/>
      <c s="7" r="R387">
        <f>IF((P387&gt;0),O387,0)</f>
        <v>0</v>
      </c>
      <c t="str" r="S387">
        <f>CONCATENATE(F387,E387)</f>
        <v>EvertonEverton</v>
      </c>
    </row>
    <row r="388">
      <c t="s" s="7" r="A388">
        <v>23</v>
      </c>
      <c s="7" r="B388">
        <v>142</v>
      </c>
      <c s="7" r="C388">
        <v>25</v>
      </c>
      <c t="s" s="7" r="D388">
        <v>162</v>
      </c>
      <c t="s" s="7" r="E388">
        <v>24</v>
      </c>
      <c t="s" s="7" r="F388">
        <v>24</v>
      </c>
      <c t="s" s="7" r="G388">
        <v>24</v>
      </c>
      <c t="str" s="65" r="H388">
        <f>HYPERLINK("http://sofifa.com/en/fifa13winter/player/147962-marouane-fellaini","M. Fellaini")</f>
        <v>M. Fellaini</v>
      </c>
      <c s="7" r="I388">
        <v>80</v>
      </c>
      <c t="s" s="7" r="J388">
        <v>162</v>
      </c>
      <c t="s" s="7" r="K388">
        <v>188</v>
      </c>
      <c t="s" s="7" r="L388">
        <v>179</v>
      </c>
      <c s="7" r="M388">
        <v>24</v>
      </c>
      <c s="26" r="N388">
        <v>12</v>
      </c>
      <c s="23" r="O388">
        <v>0.03</v>
      </c>
      <c s="7" r="P388"/>
      <c s="7" r="Q388"/>
      <c s="7" r="R388">
        <f>IF((P388&gt;0),O388,0)</f>
        <v>0</v>
      </c>
      <c t="str" r="S388">
        <f>CONCATENATE(F388,E388)</f>
        <v>EvertonEverton</v>
      </c>
    </row>
    <row r="389">
      <c t="s" s="7" r="A389">
        <v>23</v>
      </c>
      <c s="7" r="B389">
        <v>143</v>
      </c>
      <c s="7" r="C389">
        <v>28</v>
      </c>
      <c t="s" s="7" r="D389">
        <v>129</v>
      </c>
      <c t="s" s="7" r="E389">
        <v>24</v>
      </c>
      <c t="s" s="7" r="F389">
        <v>24</v>
      </c>
      <c t="s" s="7" r="G389">
        <v>24</v>
      </c>
      <c t="str" s="65" r="H389">
        <f>HYPERLINK("http://sofifa.com/en/fifa13winter/player/148115-victor-anichebe","V. Anichebe")</f>
        <v>V. Anichebe</v>
      </c>
      <c s="7" r="I389">
        <v>72</v>
      </c>
      <c t="s" s="7" r="J389">
        <v>129</v>
      </c>
      <c t="s" s="7" r="K389">
        <v>144</v>
      </c>
      <c t="s" s="7" r="L389">
        <v>179</v>
      </c>
      <c s="7" r="M389">
        <v>24</v>
      </c>
      <c s="26" r="N389">
        <v>3.2</v>
      </c>
      <c s="23" r="O389">
        <v>0.009</v>
      </c>
      <c s="7" r="P389"/>
      <c s="7" r="Q389"/>
      <c s="7" r="R389">
        <f>IF((P389&gt;0),O389,0)</f>
        <v>0</v>
      </c>
      <c t="str" r="S389">
        <f>CONCATENATE(F389,E389)</f>
        <v>EvertonEverton</v>
      </c>
    </row>
    <row r="390">
      <c t="s" s="7" r="A390">
        <v>23</v>
      </c>
      <c s="7" r="B390">
        <v>144</v>
      </c>
      <c s="7" r="C390">
        <v>20</v>
      </c>
      <c t="s" s="7" r="D390">
        <v>136</v>
      </c>
      <c t="s" s="7" r="E390">
        <v>24</v>
      </c>
      <c t="s" s="7" r="F390">
        <v>24</v>
      </c>
      <c t="s" s="7" r="G390">
        <v>24</v>
      </c>
      <c t="str" s="65" r="H390">
        <f>HYPERLINK("http://sofifa.com/en/fifa13winter/player/150167-ross-barkley","R. Barkley")</f>
        <v>R. Barkley</v>
      </c>
      <c s="7" r="I390">
        <v>71</v>
      </c>
      <c t="s" s="7" r="J390">
        <v>162</v>
      </c>
      <c t="s" s="7" r="K390">
        <v>134</v>
      </c>
      <c t="s" s="7" r="L390">
        <v>161</v>
      </c>
      <c s="7" r="M390">
        <v>18</v>
      </c>
      <c s="26" r="N390">
        <v>3</v>
      </c>
      <c s="23" r="O390">
        <v>0.006</v>
      </c>
      <c s="7" r="P390"/>
      <c s="7" r="Q390"/>
      <c s="7" r="R390">
        <f>IF((P390&gt;0),O390,0)</f>
        <v>0</v>
      </c>
      <c t="str" r="S390">
        <f>CONCATENATE(F390,E390)</f>
        <v>EvertonEverton</v>
      </c>
    </row>
    <row r="391">
      <c t="s" s="7" r="A391">
        <v>23</v>
      </c>
      <c s="7" r="B391">
        <v>145</v>
      </c>
      <c s="7" r="C391">
        <v>27</v>
      </c>
      <c t="s" s="7" r="D391">
        <v>136</v>
      </c>
      <c t="s" s="7" r="E391">
        <v>24</v>
      </c>
      <c t="s" s="7" r="F391">
        <v>24</v>
      </c>
      <c t="s" s="7" r="G391">
        <v>24</v>
      </c>
      <c t="str" s="65" r="H391">
        <f>HYPERLINK("http://sofifa.com/en/fifa13winter/player/149470-apostolos-vellios","A. Vellios")</f>
        <v>A. Vellios</v>
      </c>
      <c s="7" r="I391">
        <v>70</v>
      </c>
      <c t="s" s="7" r="J391">
        <v>129</v>
      </c>
      <c t="s" s="7" r="K391">
        <v>144</v>
      </c>
      <c t="s" s="7" r="L391">
        <v>161</v>
      </c>
      <c s="7" r="M391">
        <v>20</v>
      </c>
      <c s="26" r="N391">
        <v>2.5</v>
      </c>
      <c s="23" r="O391">
        <v>0.006</v>
      </c>
      <c s="7" r="P391"/>
      <c s="7" r="Q391"/>
      <c s="7" r="R391">
        <f>IF((P391&gt;0),O391,0)</f>
        <v>0</v>
      </c>
      <c t="str" r="S391">
        <f>CONCATENATE(F391,E391)</f>
        <v>EvertonEverton</v>
      </c>
    </row>
    <row r="392">
      <c t="s" s="7" r="A392">
        <v>23</v>
      </c>
      <c s="7" r="B392">
        <v>146</v>
      </c>
      <c s="7" r="C392">
        <v>30</v>
      </c>
      <c t="s" s="7" r="D392">
        <v>136</v>
      </c>
      <c t="s" s="7" r="E392">
        <v>24</v>
      </c>
      <c t="s" s="7" r="F392">
        <v>24</v>
      </c>
      <c t="s" s="7" r="G392">
        <v>24</v>
      </c>
      <c t="str" s="65" r="H392">
        <f>HYPERLINK("http://sofifa.com/en/fifa13winter/player/149480-francisco-santos-silva-junior","Francisco Júnior")</f>
        <v>Francisco Júnior</v>
      </c>
      <c s="7" r="I392">
        <v>58</v>
      </c>
      <c t="s" s="7" r="J392">
        <v>124</v>
      </c>
      <c t="s" s="7" r="K392">
        <v>200</v>
      </c>
      <c t="s" s="7" r="L392">
        <v>149</v>
      </c>
      <c s="7" r="M392">
        <v>20</v>
      </c>
      <c s="26" r="N392">
        <v>0.3</v>
      </c>
      <c s="23" r="O392">
        <v>0.002</v>
      </c>
      <c s="7" r="P392"/>
      <c s="7" r="Q392"/>
      <c s="7" r="R392">
        <f>IF((P392&gt;0),O392,0)</f>
        <v>0</v>
      </c>
      <c t="str" r="S392">
        <f>CONCATENATE(F392,E392)</f>
        <v>EvertonEverton</v>
      </c>
    </row>
    <row r="393">
      <c t="s" s="7" r="A393">
        <v>23</v>
      </c>
      <c s="7" r="B393">
        <v>147</v>
      </c>
      <c s="7" r="C393">
        <v>26</v>
      </c>
      <c t="s" s="7" r="D393">
        <v>136</v>
      </c>
      <c t="s" s="7" r="E393">
        <v>24</v>
      </c>
      <c t="s" s="7" r="F393">
        <v>24</v>
      </c>
      <c t="s" s="7" r="G393">
        <v>24</v>
      </c>
      <c t="str" s="65" r="H393">
        <f>HYPERLINK("http://sofifa.com/en/fifa13winter/player/150341-john-stones","J. Stones")</f>
        <v>J. Stones</v>
      </c>
      <c s="7" r="I393">
        <v>68</v>
      </c>
      <c t="s" s="7" r="J393">
        <v>109</v>
      </c>
      <c t="s" s="7" r="K393">
        <v>134</v>
      </c>
      <c t="s" s="7" r="L393">
        <v>151</v>
      </c>
      <c s="7" r="M393">
        <v>18</v>
      </c>
      <c s="26" r="N393">
        <v>1.7</v>
      </c>
      <c s="23" r="O393">
        <v>0.005</v>
      </c>
      <c s="7" r="P393"/>
      <c s="7" r="Q393"/>
      <c s="7" r="R393">
        <f>IF((P393&gt;0),O393,0)</f>
        <v>0</v>
      </c>
      <c t="str" r="S393">
        <f>CONCATENATE(F393,E393)</f>
        <v>EvertonEverton</v>
      </c>
    </row>
    <row r="394">
      <c t="s" s="7" r="A394">
        <v>23</v>
      </c>
      <c s="7" r="B394">
        <v>148</v>
      </c>
      <c s="7" r="C394">
        <v>46</v>
      </c>
      <c t="s" s="7" r="D394">
        <v>136</v>
      </c>
      <c t="s" s="7" r="E394">
        <v>24</v>
      </c>
      <c t="s" s="7" r="F394">
        <v>24</v>
      </c>
      <c t="s" s="7" r="G394">
        <v>24</v>
      </c>
      <c t="str" s="65" r="H394">
        <f>HYPERLINK("http://sofifa.com/en/fifa13winter/player/150375-mason-springthorpe","M. Springthorpe")</f>
        <v>M. Springthorpe</v>
      </c>
      <c s="7" r="I394">
        <v>54</v>
      </c>
      <c t="s" s="7" r="J394">
        <v>106</v>
      </c>
      <c t="s" s="7" r="K394">
        <v>134</v>
      </c>
      <c t="s" s="7" r="L394">
        <v>146</v>
      </c>
      <c s="7" r="M394">
        <v>18</v>
      </c>
      <c s="26" r="N394">
        <v>0.1</v>
      </c>
      <c s="23" r="O394">
        <v>0.002</v>
      </c>
      <c s="7" r="P394"/>
      <c s="7" r="Q394"/>
      <c s="7" r="R394">
        <f>IF((P394&gt;0),O394,0)</f>
        <v>0</v>
      </c>
      <c t="str" r="S394">
        <f>CONCATENATE(F394,E394)</f>
        <v>EvertonEverton</v>
      </c>
    </row>
    <row r="395">
      <c t="s" s="7" r="A395">
        <v>23</v>
      </c>
      <c s="7" r="B395">
        <v>149</v>
      </c>
      <c s="7" r="C395">
        <v>8</v>
      </c>
      <c t="s" s="7" r="D395">
        <v>136</v>
      </c>
      <c t="s" s="7" r="E395">
        <v>24</v>
      </c>
      <c t="s" s="7" r="F395">
        <v>24</v>
      </c>
      <c t="s" s="7" r="G395">
        <v>24</v>
      </c>
      <c t="str" s="65" r="H395">
        <f>HYPERLINK("http://sofifa.com/en/fifa13winter/player/148781-bryan-oviedo","B. Oviedo")</f>
        <v>B. Oviedo</v>
      </c>
      <c s="7" r="I395">
        <v>68</v>
      </c>
      <c t="s" s="7" r="J395">
        <v>117</v>
      </c>
      <c t="s" s="7" r="K395">
        <v>187</v>
      </c>
      <c t="s" s="7" r="L395">
        <v>149</v>
      </c>
      <c s="7" r="M395">
        <v>22</v>
      </c>
      <c s="26" r="N395">
        <v>1.5</v>
      </c>
      <c s="23" r="O395">
        <v>0.006</v>
      </c>
      <c s="7" r="P395"/>
      <c s="7" r="Q395"/>
      <c s="7" r="R395">
        <f>IF((P395&gt;0),O395,0)</f>
        <v>0</v>
      </c>
      <c t="str" r="S395">
        <f>CONCATENATE(F395,E395)</f>
        <v>EvertonEverton</v>
      </c>
    </row>
    <row r="396">
      <c t="s" s="7" r="A396">
        <v>23</v>
      </c>
      <c s="7" r="B396">
        <v>150</v>
      </c>
      <c s="7" r="C396">
        <v>14</v>
      </c>
      <c t="s" s="7" r="D396">
        <v>136</v>
      </c>
      <c t="s" s="7" r="E396">
        <v>24</v>
      </c>
      <c t="s" s="7" r="F396">
        <v>24</v>
      </c>
      <c t="s" s="7" r="G396">
        <v>24</v>
      </c>
      <c t="str" s="65" r="H396">
        <f>HYPERLINK("http://sofifa.com/en/fifa13winter/player/147528-steven-naismith","S. Naismith")</f>
        <v>S. Naismith</v>
      </c>
      <c s="7" r="I396">
        <v>72</v>
      </c>
      <c t="s" s="7" r="J396">
        <v>120</v>
      </c>
      <c t="s" s="7" r="K396">
        <v>118</v>
      </c>
      <c t="s" s="7" r="L396">
        <v>146</v>
      </c>
      <c s="7" r="M396">
        <v>25</v>
      </c>
      <c s="26" r="N396">
        <v>2.7</v>
      </c>
      <c s="23" r="O396">
        <v>0.009</v>
      </c>
      <c s="7" r="P396"/>
      <c s="7" r="Q396"/>
      <c s="7" r="R396">
        <f>IF((P396&gt;0),O396,0)</f>
        <v>0</v>
      </c>
      <c t="str" r="S396">
        <f>CONCATENATE(F396,E396)</f>
        <v>EvertonEverton</v>
      </c>
    </row>
    <row r="397">
      <c t="s" s="7" r="A397">
        <v>23</v>
      </c>
      <c s="7" r="B397">
        <v>151</v>
      </c>
      <c s="7" r="C397">
        <v>7</v>
      </c>
      <c t="s" s="7" r="D397">
        <v>136</v>
      </c>
      <c t="s" s="7" r="E397">
        <v>24</v>
      </c>
      <c t="s" s="7" r="F397">
        <v>24</v>
      </c>
      <c t="s" s="7" r="G397">
        <v>24</v>
      </c>
      <c t="str" s="65" r="H397">
        <f>HYPERLINK("http://sofifa.com/en/fifa13winter/player/147145-nikica-jelavic","N. Jelavić")</f>
        <v>N. Jelavić</v>
      </c>
      <c s="7" r="I397">
        <v>77</v>
      </c>
      <c t="s" s="7" r="J397">
        <v>129</v>
      </c>
      <c t="s" s="7" r="K397">
        <v>155</v>
      </c>
      <c t="s" s="7" r="L397">
        <v>156</v>
      </c>
      <c s="7" r="M397">
        <v>27</v>
      </c>
      <c s="26" r="N397">
        <v>6.6</v>
      </c>
      <c s="23" r="O397">
        <v>0.017</v>
      </c>
      <c s="7" r="P397"/>
      <c s="7" r="Q397"/>
      <c s="7" r="R397">
        <f>IF((P397&gt;0),O397,0)</f>
        <v>0</v>
      </c>
      <c t="str" r="S397">
        <f>CONCATENATE(F397,E397)</f>
        <v>EvertonEverton</v>
      </c>
    </row>
    <row r="398">
      <c t="s" s="7" r="A398">
        <v>23</v>
      </c>
      <c s="7" r="B398">
        <v>152</v>
      </c>
      <c s="7" r="C398">
        <v>2</v>
      </c>
      <c t="s" s="7" r="D398">
        <v>136</v>
      </c>
      <c t="s" s="7" r="E398">
        <v>24</v>
      </c>
      <c t="s" s="7" r="F398">
        <v>24</v>
      </c>
      <c t="s" s="7" r="G398">
        <v>24</v>
      </c>
      <c t="str" s="65" r="H398">
        <f>HYPERLINK("http://sofifa.com/en/fifa13winter/player/145496-tony-hibbert","T. Hibbert")</f>
        <v>T. Hibbert</v>
      </c>
      <c s="7" r="I398">
        <v>73</v>
      </c>
      <c t="s" s="7" r="J398">
        <v>109</v>
      </c>
      <c t="s" s="7" r="K398">
        <v>130</v>
      </c>
      <c t="s" s="7" r="L398">
        <v>142</v>
      </c>
      <c s="7" r="M398">
        <v>31</v>
      </c>
      <c s="26" r="N398">
        <v>2.2</v>
      </c>
      <c s="23" r="O398">
        <v>0.011</v>
      </c>
      <c s="7" r="P398"/>
      <c s="7" r="Q398"/>
      <c s="7" r="R398">
        <f>IF((P398&gt;0),O398,0)</f>
        <v>0</v>
      </c>
      <c t="str" r="S398">
        <f>CONCATENATE(F398,E398)</f>
        <v>EvertonEverton</v>
      </c>
    </row>
    <row r="399">
      <c t="s" s="7" r="A399">
        <v>23</v>
      </c>
      <c s="7" r="B399">
        <v>153</v>
      </c>
      <c s="7" r="C399">
        <v>5</v>
      </c>
      <c t="s" s="7" r="D399">
        <v>136</v>
      </c>
      <c t="s" s="7" r="E399">
        <v>24</v>
      </c>
      <c t="s" s="7" r="F399">
        <v>24</v>
      </c>
      <c t="s" s="7" r="G399">
        <v>24</v>
      </c>
      <c t="str" s="65" r="H399">
        <f>HYPERLINK("http://sofifa.com/en/fifa13winter/player/146494-john-heitinga","J. Heitinga")</f>
        <v>J. Heitinga</v>
      </c>
      <c s="7" r="I399">
        <v>78</v>
      </c>
      <c t="s" s="7" r="J399">
        <v>113</v>
      </c>
      <c t="s" s="7" r="K399">
        <v>114</v>
      </c>
      <c t="s" s="7" r="L399">
        <v>146</v>
      </c>
      <c s="7" r="M399">
        <v>28</v>
      </c>
      <c s="26" r="N399">
        <v>6</v>
      </c>
      <c s="23" r="O399">
        <v>0.02</v>
      </c>
      <c s="7" r="P399"/>
      <c s="7" r="Q399"/>
      <c s="7" r="R399">
        <f>IF((P399&gt;0),O399,0)</f>
        <v>0</v>
      </c>
      <c t="str" r="S399">
        <f>CONCATENATE(F399,E399)</f>
        <v>EvertonEverton</v>
      </c>
    </row>
    <row r="400">
      <c t="s" s="7" r="A400">
        <v>23</v>
      </c>
      <c s="7" r="B400">
        <v>154</v>
      </c>
      <c s="7" r="C400">
        <v>42</v>
      </c>
      <c t="s" s="7" r="D400">
        <v>136</v>
      </c>
      <c t="s" s="7" r="E400">
        <v>24</v>
      </c>
      <c t="s" s="7" r="F400">
        <v>24</v>
      </c>
      <c t="s" s="7" r="G400">
        <v>24</v>
      </c>
      <c t="str" s="65" r="H400">
        <f>HYPERLINK("http://sofifa.com/en/fifa13winter/player/149969-luke-garbutt","L. Garbutt")</f>
        <v>L. Garbutt</v>
      </c>
      <c s="7" r="I400">
        <v>64</v>
      </c>
      <c t="s" s="7" r="J400">
        <v>117</v>
      </c>
      <c t="s" s="7" r="K400">
        <v>118</v>
      </c>
      <c t="s" s="7" r="L400">
        <v>119</v>
      </c>
      <c s="7" r="M400">
        <v>19</v>
      </c>
      <c s="26" r="N400">
        <v>0.9</v>
      </c>
      <c s="23" r="O400">
        <v>0.004</v>
      </c>
      <c s="7" r="P400"/>
      <c s="7" r="Q400"/>
      <c s="7" r="R400">
        <f>IF((P400&gt;0),O400,0)</f>
        <v>0</v>
      </c>
      <c t="str" r="S400">
        <f>CONCATENATE(F400,E400)</f>
        <v>EvertonEverton</v>
      </c>
    </row>
    <row r="401">
      <c t="s" s="7" r="A401">
        <v>23</v>
      </c>
      <c s="7" r="B401">
        <v>155</v>
      </c>
      <c s="7" r="C401">
        <v>34</v>
      </c>
      <c t="s" s="7" r="D401">
        <v>136</v>
      </c>
      <c t="s" s="7" r="E401">
        <v>24</v>
      </c>
      <c t="s" s="7" r="F401">
        <v>24</v>
      </c>
      <c t="s" s="7" r="G401">
        <v>24</v>
      </c>
      <c t="str" s="65" r="H401">
        <f>HYPERLINK("http://sofifa.com/en/fifa13winter/player/149463-shane-duffy","S. Duffy")</f>
        <v>S. Duffy</v>
      </c>
      <c s="7" r="I401">
        <v>66</v>
      </c>
      <c t="s" s="7" r="J401">
        <v>113</v>
      </c>
      <c t="s" s="7" r="K401">
        <v>188</v>
      </c>
      <c t="s" s="7" r="L401">
        <v>193</v>
      </c>
      <c s="7" r="M401">
        <v>20</v>
      </c>
      <c s="26" r="N401">
        <v>1.3</v>
      </c>
      <c s="23" r="O401">
        <v>0.004</v>
      </c>
      <c s="7" r="P401"/>
      <c s="7" r="Q401"/>
      <c s="7" r="R401">
        <f>IF((P401&gt;0),O401,0)</f>
        <v>0</v>
      </c>
      <c t="str" r="S401">
        <f>CONCATENATE(F401,E401)</f>
        <v>EvertonEverton</v>
      </c>
    </row>
    <row r="402">
      <c t="s" s="7" r="A402">
        <v>23</v>
      </c>
      <c s="7" r="B402">
        <v>156</v>
      </c>
      <c s="7" r="C402">
        <v>32</v>
      </c>
      <c t="s" s="7" r="D402">
        <v>147</v>
      </c>
      <c t="s" s="7" r="E402">
        <v>24</v>
      </c>
      <c t="s" s="7" r="F402">
        <v>24</v>
      </c>
      <c t="s" s="7" r="G402">
        <v>24</v>
      </c>
      <c t="str" s="65" r="H402">
        <f>HYPERLINK("http://sofifa.com/en/fifa13winter/player/150398-ibou-touray","I. Touray")</f>
        <v>I. Touray</v>
      </c>
      <c s="7" r="I402">
        <v>54</v>
      </c>
      <c t="s" s="7" r="J402">
        <v>117</v>
      </c>
      <c t="s" s="7" r="K402">
        <v>159</v>
      </c>
      <c t="s" s="7" r="L402">
        <v>115</v>
      </c>
      <c s="7" r="M402">
        <v>18</v>
      </c>
      <c s="26" r="N402">
        <v>0.1</v>
      </c>
      <c s="23" r="O402">
        <v>0.002</v>
      </c>
      <c s="7" r="P402"/>
      <c s="7" r="Q402"/>
      <c s="7" r="R402">
        <f>IF((P402&gt;0),O402,0)</f>
        <v>0</v>
      </c>
      <c t="str" r="S402">
        <f>CONCATENATE(F402,E402)</f>
        <v>EvertonEverton</v>
      </c>
    </row>
    <row r="403">
      <c t="s" s="7" r="A403">
        <v>23</v>
      </c>
      <c s="7" r="B403">
        <v>157</v>
      </c>
      <c s="7" r="C403">
        <v>45</v>
      </c>
      <c t="s" s="7" r="D403">
        <v>147</v>
      </c>
      <c t="s" s="7" r="E403">
        <v>24</v>
      </c>
      <c t="s" s="7" r="F403">
        <v>24</v>
      </c>
      <c t="s" s="7" r="G403">
        <v>24</v>
      </c>
      <c t="str" s="65" r="H403">
        <f>HYPERLINK("http://sofifa.com/en/fifa13winter/player/150509-mateusz-taudul","M. Taudul")</f>
        <v>M. Taudul</v>
      </c>
      <c s="7" r="I403">
        <v>49</v>
      </c>
      <c t="s" s="7" r="J403">
        <v>106</v>
      </c>
      <c t="s" s="7" r="K403">
        <v>132</v>
      </c>
      <c t="s" s="7" r="L403">
        <v>161</v>
      </c>
      <c s="7" r="M403">
        <v>17</v>
      </c>
      <c s="26" r="N403">
        <v>0.1</v>
      </c>
      <c s="23" r="O403">
        <v>0.001</v>
      </c>
      <c s="7" r="P403"/>
      <c s="7" r="Q403"/>
      <c s="7" r="R403">
        <f>IF((P403&gt;0),O403,0)</f>
        <v>0</v>
      </c>
      <c t="str" r="S403">
        <f>CONCATENATE(F403,E403)</f>
        <v>EvertonEverton</v>
      </c>
    </row>
    <row r="404">
      <c t="s" s="7" r="A404">
        <v>23</v>
      </c>
      <c s="7" r="B404">
        <v>158</v>
      </c>
      <c s="7" r="C404">
        <v>31</v>
      </c>
      <c t="s" s="7" r="D404">
        <v>147</v>
      </c>
      <c t="s" s="7" r="E404">
        <v>24</v>
      </c>
      <c t="s" s="7" r="F404">
        <v>24</v>
      </c>
      <c t="s" s="7" r="G404">
        <v>24</v>
      </c>
      <c t="str" s="65" r="H404">
        <f>HYPERLINK("http://sofifa.com/en/fifa13winter/player/150498-matthew-kennedy","M. Kennedy")</f>
        <v>M. Kennedy</v>
      </c>
      <c s="7" r="I404">
        <v>54</v>
      </c>
      <c t="s" s="7" r="J404">
        <v>120</v>
      </c>
      <c t="s" s="7" r="K404">
        <v>121</v>
      </c>
      <c t="s" s="7" r="L404">
        <v>149</v>
      </c>
      <c s="7" r="M404">
        <v>17</v>
      </c>
      <c s="26" r="N404">
        <v>0.1</v>
      </c>
      <c s="23" r="O404">
        <v>0.001</v>
      </c>
      <c s="7" r="P404"/>
      <c s="7" r="Q404"/>
      <c s="7" r="R404">
        <f>IF((P404&gt;0),O404,0)</f>
        <v>0</v>
      </c>
      <c t="str" r="S404">
        <f>CONCATENATE(F404,E404)</f>
        <v>EvertonEverton</v>
      </c>
    </row>
    <row r="405">
      <c t="s" s="7" r="A405">
        <v>23</v>
      </c>
      <c s="7" r="B405">
        <v>159</v>
      </c>
      <c s="7" r="C405">
        <v>44</v>
      </c>
      <c t="s" s="7" r="D405">
        <v>147</v>
      </c>
      <c t="s" s="7" r="E405">
        <v>24</v>
      </c>
      <c t="s" s="7" r="F405">
        <v>24</v>
      </c>
      <c t="s" s="7" r="G405">
        <v>24</v>
      </c>
      <c t="str" s="65" r="H405">
        <f>HYPERLINK("http://sofifa.com/en/fifa13winter/player/150663-ben-mclaughlin","B. McLaughlin")</f>
        <v>B. McLaughlin</v>
      </c>
      <c s="7" r="I405">
        <v>54</v>
      </c>
      <c t="s" s="7" r="J405">
        <v>113</v>
      </c>
      <c t="s" s="7" r="K405">
        <v>118</v>
      </c>
      <c t="s" s="7" r="L405">
        <v>125</v>
      </c>
      <c s="7" r="M405">
        <v>17</v>
      </c>
      <c s="26" r="N405">
        <v>0.1</v>
      </c>
      <c s="23" r="O405">
        <v>0.001</v>
      </c>
      <c s="7" r="P405"/>
      <c s="7" r="Q405"/>
      <c s="7" r="R405">
        <f>IF((P405&gt;0),O405,0)</f>
        <v>0</v>
      </c>
      <c t="str" r="S405">
        <f>CONCATENATE(F405,E405)</f>
        <v>EvertonEverton</v>
      </c>
    </row>
    <row r="406">
      <c t="s" s="7" r="A406">
        <v>23</v>
      </c>
      <c s="7" r="B406">
        <v>160</v>
      </c>
      <c s="7" r="C406">
        <v>41</v>
      </c>
      <c t="s" s="7" r="D406">
        <v>147</v>
      </c>
      <c t="s" s="7" r="E406">
        <v>24</v>
      </c>
      <c t="s" s="7" r="F406">
        <v>24</v>
      </c>
      <c t="s" s="7" r="G406">
        <v>24</v>
      </c>
      <c t="str" s="65" r="H406">
        <f>HYPERLINK("http://sofifa.com/en/fifa13winter/player/149908-jake-bidwell","J. Bidwell")</f>
        <v>J. Bidwell</v>
      </c>
      <c s="7" r="I406">
        <v>61</v>
      </c>
      <c t="s" s="7" r="J406">
        <v>117</v>
      </c>
      <c t="s" s="7" r="K406">
        <v>110</v>
      </c>
      <c t="s" s="7" r="L406">
        <v>122</v>
      </c>
      <c s="7" r="M406">
        <v>19</v>
      </c>
      <c s="26" r="N406">
        <v>0.6</v>
      </c>
      <c s="23" r="O406">
        <v>0.003</v>
      </c>
      <c s="7" r="P406"/>
      <c s="7" r="Q406"/>
      <c s="7" r="R406">
        <f>IF((P406&gt;0),O406,0)</f>
        <v>0</v>
      </c>
      <c t="str" r="S406">
        <f>CONCATENATE(F406,E406)</f>
        <v>EvertonEverton</v>
      </c>
    </row>
    <row r="407">
      <c t="s" s="7" r="A407">
        <v>23</v>
      </c>
      <c s="7" r="B407">
        <v>161</v>
      </c>
      <c s="7" r="C407">
        <v>33</v>
      </c>
      <c t="s" s="7" r="D407">
        <v>147</v>
      </c>
      <c t="s" s="7" r="E407">
        <v>24</v>
      </c>
      <c t="s" s="7" r="F407">
        <v>24</v>
      </c>
      <c t="s" s="7" r="G407">
        <v>24</v>
      </c>
      <c t="str" s="65" r="H407">
        <f>HYPERLINK("http://sofifa.com/en/fifa13winter/player/150240-john-lundstram","J. Lundstram")</f>
        <v>J. Lundstram</v>
      </c>
      <c s="7" r="I407">
        <v>56</v>
      </c>
      <c t="s" s="7" r="J407">
        <v>124</v>
      </c>
      <c t="s" s="7" r="K407">
        <v>143</v>
      </c>
      <c t="s" s="7" r="L407">
        <v>160</v>
      </c>
      <c s="7" r="M407">
        <v>18</v>
      </c>
      <c s="26" r="N407">
        <v>0.1</v>
      </c>
      <c s="23" r="O407">
        <v>0.002</v>
      </c>
      <c s="7" r="P407"/>
      <c s="7" r="Q407"/>
      <c s="7" r="R407">
        <f>IF((P407&gt;0),O407,0)</f>
        <v>0</v>
      </c>
      <c t="str" r="S407">
        <f>CONCATENATE(F407,E407)</f>
        <v>EvertonEverton</v>
      </c>
    </row>
    <row r="408">
      <c t="s" s="7" r="A408">
        <v>23</v>
      </c>
      <c s="7" r="B408">
        <v>162</v>
      </c>
      <c s="7" r="C408">
        <v>40</v>
      </c>
      <c t="s" s="7" r="D408">
        <v>147</v>
      </c>
      <c t="s" s="7" r="E408">
        <v>24</v>
      </c>
      <c t="s" s="7" r="F408">
        <v>24</v>
      </c>
      <c t="s" s="7" r="G408">
        <v>24</v>
      </c>
      <c t="str" s="65" r="H408">
        <f>HYPERLINK("http://sofifa.com/en/fifa13winter/player/150340-tyias-browning","T. Browning")</f>
        <v>T. Browning</v>
      </c>
      <c s="7" r="I408">
        <v>49</v>
      </c>
      <c t="s" s="7" r="J408">
        <v>109</v>
      </c>
      <c t="s" s="7" r="K408">
        <v>150</v>
      </c>
      <c t="s" s="7" r="L408">
        <v>137</v>
      </c>
      <c s="7" r="M408">
        <v>18</v>
      </c>
      <c s="26" r="N408">
        <v>0.1</v>
      </c>
      <c s="23" r="O408">
        <v>0.002</v>
      </c>
      <c s="7" r="P408"/>
      <c s="7" r="Q408"/>
      <c s="7" r="R408">
        <f>IF((P408&gt;0),O408,0)</f>
        <v>0</v>
      </c>
      <c t="str" r="S408">
        <f>CONCATENATE(F408,E408)</f>
        <v>EvertonEverton</v>
      </c>
    </row>
    <row r="409">
      <c t="s" s="7" r="A409">
        <v>23</v>
      </c>
      <c s="7" r="B409">
        <v>163</v>
      </c>
      <c s="7" r="C409">
        <v>37</v>
      </c>
      <c t="s" s="7" r="D409">
        <v>147</v>
      </c>
      <c t="s" s="7" r="E409">
        <v>24</v>
      </c>
      <c t="s" s="7" r="F409">
        <v>24</v>
      </c>
      <c t="s" s="7" r="G409">
        <v>24</v>
      </c>
      <c t="str" s="65" r="H409">
        <f>HYPERLINK("http://sofifa.com/en/fifa13winter/player/150269-hallam-hope","H. Hope")</f>
        <v>H. Hope</v>
      </c>
      <c s="7" r="I409">
        <v>59</v>
      </c>
      <c t="s" s="7" r="J409">
        <v>129</v>
      </c>
      <c t="s" s="7" r="K409">
        <v>145</v>
      </c>
      <c t="s" s="7" r="L409">
        <v>137</v>
      </c>
      <c s="7" r="M409">
        <v>18</v>
      </c>
      <c s="26" r="N409">
        <v>0.5</v>
      </c>
      <c s="23" r="O409">
        <v>0.002</v>
      </c>
      <c s="7" r="P409"/>
      <c s="7" r="Q409"/>
      <c s="7" r="R409">
        <f>IF((P409&gt;0),O409,0)</f>
        <v>0</v>
      </c>
      <c t="str" r="S409">
        <f>CONCATENATE(F409,E409)</f>
        <v>EvertonEverton</v>
      </c>
    </row>
    <row r="410">
      <c t="s" s="7" r="A410">
        <v>23</v>
      </c>
      <c s="7" r="B410">
        <v>164</v>
      </c>
      <c s="7" r="C410">
        <v>43</v>
      </c>
      <c t="s" s="7" r="D410">
        <v>147</v>
      </c>
      <c t="s" s="7" r="E410">
        <v>24</v>
      </c>
      <c t="s" s="7" r="F410">
        <v>24</v>
      </c>
      <c t="s" s="7" r="G410">
        <v>24</v>
      </c>
      <c t="str" s="65" r="H410">
        <f>HYPERLINK("http://sofifa.com/en/fifa13winter/player/149687-conor-mcaleny","C. McAleny")</f>
        <v>C. McAleny</v>
      </c>
      <c s="7" r="I410">
        <v>61</v>
      </c>
      <c t="s" s="7" r="J410">
        <v>129</v>
      </c>
      <c t="s" s="7" r="K410">
        <v>187</v>
      </c>
      <c t="s" s="7" r="L410">
        <v>125</v>
      </c>
      <c s="7" r="M410">
        <v>20</v>
      </c>
      <c s="26" r="N410">
        <v>0.8</v>
      </c>
      <c s="23" r="O410">
        <v>0.003</v>
      </c>
      <c s="7" r="P410"/>
      <c s="7" r="Q410"/>
      <c s="7" r="R410">
        <f>IF((P410&gt;0),O410,0)</f>
        <v>0</v>
      </c>
      <c t="str" r="S410">
        <f>CONCATENATE(F410,E410)</f>
        <v>EvertonEverton</v>
      </c>
    </row>
    <row r="411">
      <c t="s" s="7" r="A411">
        <v>23</v>
      </c>
      <c s="7" r="B411">
        <v>165</v>
      </c>
      <c s="7" r="C411">
        <v>47</v>
      </c>
      <c t="s" s="7" r="D411">
        <v>147</v>
      </c>
      <c t="s" s="7" r="E411">
        <v>24</v>
      </c>
      <c t="s" s="7" r="F411">
        <v>24</v>
      </c>
      <c t="s" s="7" r="G411">
        <v>24</v>
      </c>
      <c t="str" s="65" r="H411">
        <f>HYPERLINK("http://sofifa.com/en/fifa13winter/player/150925-george-green","G. Green")</f>
        <v>G. Green</v>
      </c>
      <c s="7" r="I411">
        <v>58</v>
      </c>
      <c t="s" s="7" r="J411">
        <v>124</v>
      </c>
      <c t="s" s="7" r="K411">
        <v>110</v>
      </c>
      <c t="s" s="7" r="L411">
        <v>158</v>
      </c>
      <c s="7" r="M411">
        <v>16</v>
      </c>
      <c s="26" r="N411">
        <v>0.3</v>
      </c>
      <c s="23" r="O411">
        <v>0.002</v>
      </c>
      <c s="7" r="P411"/>
      <c s="7" r="Q411"/>
      <c s="7" r="R411">
        <f>IF((P411&gt;0),O411,0)</f>
        <v>0</v>
      </c>
      <c t="str" r="S411">
        <f>CONCATENATE(F411,E411)</f>
        <v>EvertonEverton</v>
      </c>
    </row>
    <row r="412">
      <c t="s" s="7" r="A412">
        <v>48</v>
      </c>
      <c s="7" r="B412">
        <v>67</v>
      </c>
      <c s="7" r="C412">
        <v>1</v>
      </c>
      <c t="s" s="7" r="D412">
        <v>106</v>
      </c>
      <c t="s" s="7" r="E412">
        <v>49</v>
      </c>
      <c t="s" s="7" r="F412">
        <v>49</v>
      </c>
      <c t="s" s="7" r="G412">
        <v>49</v>
      </c>
      <c t="str" s="65" r="H412">
        <f>HYPERLINK("http://sofifa.com/en/fifa13winter/player/148840-wojciech-szczesny","W. Szczęsny")</f>
        <v>W. Szczęsny</v>
      </c>
      <c s="7" r="I412">
        <v>80</v>
      </c>
      <c t="s" s="7" r="J412">
        <v>106</v>
      </c>
      <c t="s" s="7" r="K412">
        <v>176</v>
      </c>
      <c t="s" s="7" r="L412">
        <v>156</v>
      </c>
      <c s="7" r="M412">
        <v>22</v>
      </c>
      <c s="26" r="N412">
        <v>8.6</v>
      </c>
      <c s="23" r="O412">
        <v>0.028</v>
      </c>
      <c s="7" r="P412"/>
      <c s="7" r="Q412"/>
      <c s="7" r="R412">
        <f>IF((P412&gt;0),O412,0)</f>
        <v>0</v>
      </c>
      <c t="str" r="S412">
        <f>CONCATENATE(F412,E412)</f>
        <v>ArsenalArsenal</v>
      </c>
    </row>
    <row r="413">
      <c t="s" s="7" r="A413">
        <v>48</v>
      </c>
      <c s="7" r="B413">
        <v>68</v>
      </c>
      <c s="7" r="C413">
        <v>3</v>
      </c>
      <c t="s" s="7" r="D413">
        <v>109</v>
      </c>
      <c t="s" s="7" r="E413">
        <v>49</v>
      </c>
      <c t="s" s="7" r="F413">
        <v>49</v>
      </c>
      <c t="s" s="7" r="G413">
        <v>49</v>
      </c>
      <c t="str" s="65" r="H413">
        <f>HYPERLINK("http://sofifa.com/en/fifa13winter/player/146220-bacary-sagna","B. Sagna")</f>
        <v>B. Sagna</v>
      </c>
      <c s="7" r="I413">
        <v>80</v>
      </c>
      <c t="s" s="7" r="J413">
        <v>109</v>
      </c>
      <c t="s" s="7" r="K413">
        <v>172</v>
      </c>
      <c t="s" s="7" r="L413">
        <v>146</v>
      </c>
      <c s="7" r="M413">
        <v>29</v>
      </c>
      <c s="26" r="N413">
        <v>8.1</v>
      </c>
      <c s="23" r="O413">
        <v>0.032</v>
      </c>
      <c s="7" r="P413"/>
      <c s="7" r="Q413"/>
      <c s="7" r="R413">
        <f>IF((P413&gt;0),O413,0)</f>
        <v>0</v>
      </c>
      <c t="str" r="S413">
        <f>CONCATENATE(F413,E413)</f>
        <v>ArsenalArsenal</v>
      </c>
    </row>
    <row r="414">
      <c t="s" s="7" r="A414">
        <v>48</v>
      </c>
      <c s="7" r="B414">
        <v>69</v>
      </c>
      <c s="7" r="C414">
        <v>4</v>
      </c>
      <c t="s" s="7" r="D414">
        <v>112</v>
      </c>
      <c t="s" s="7" r="E414">
        <v>49</v>
      </c>
      <c t="s" s="7" r="F414">
        <v>49</v>
      </c>
      <c t="s" s="7" r="G414">
        <v>49</v>
      </c>
      <c t="str" s="65" r="H414">
        <f>HYPERLINK("http://sofifa.com/en/fifa13winter/player/146813-per-mertesacker","P. Mertesacker")</f>
        <v>P. Mertesacker</v>
      </c>
      <c s="7" r="I414">
        <v>80</v>
      </c>
      <c t="s" s="7" r="J414">
        <v>113</v>
      </c>
      <c t="s" s="7" r="K414">
        <v>181</v>
      </c>
      <c t="s" s="7" r="L414">
        <v>178</v>
      </c>
      <c s="7" r="M414">
        <v>27</v>
      </c>
      <c s="26" r="N414">
        <v>10.6</v>
      </c>
      <c s="23" r="O414">
        <v>0.03</v>
      </c>
      <c s="7" r="P414"/>
      <c s="7" r="Q414"/>
      <c s="7" r="R414">
        <f>IF((P414&gt;0),O414,0)</f>
        <v>0</v>
      </c>
      <c t="str" r="S414">
        <f>CONCATENATE(F414,E414)</f>
        <v>ArsenalArsenal</v>
      </c>
    </row>
    <row r="415">
      <c t="s" s="7" r="A415">
        <v>48</v>
      </c>
      <c s="7" r="B415">
        <v>70</v>
      </c>
      <c s="7" r="C415">
        <v>6</v>
      </c>
      <c t="s" s="7" r="D415">
        <v>116</v>
      </c>
      <c t="s" s="7" r="E415">
        <v>49</v>
      </c>
      <c t="s" s="7" r="F415">
        <v>49</v>
      </c>
      <c t="s" s="7" r="G415">
        <v>49</v>
      </c>
      <c t="str" s="65" r="H415">
        <f>HYPERLINK("http://sofifa.com/en/fifa13winter/player/147159-laurent-koscielny","L. Koscielny")</f>
        <v>L. Koscielny</v>
      </c>
      <c s="7" r="I415">
        <v>81</v>
      </c>
      <c t="s" s="7" r="J415">
        <v>113</v>
      </c>
      <c t="s" s="7" r="K415">
        <v>132</v>
      </c>
      <c t="s" s="7" r="L415">
        <v>151</v>
      </c>
      <c s="7" r="M415">
        <v>26</v>
      </c>
      <c s="26" r="N415">
        <v>11.3</v>
      </c>
      <c s="23" r="O415">
        <v>0.04</v>
      </c>
      <c s="7" r="P415"/>
      <c s="7" r="Q415"/>
      <c s="7" r="R415">
        <f>IF((P415&gt;0),O415,0)</f>
        <v>0</v>
      </c>
      <c t="str" r="S415">
        <f>CONCATENATE(F415,E415)</f>
        <v>ArsenalArsenal</v>
      </c>
    </row>
    <row r="416">
      <c t="s" s="7" r="A416">
        <v>48</v>
      </c>
      <c s="7" r="B416">
        <v>71</v>
      </c>
      <c s="7" r="C416">
        <v>28</v>
      </c>
      <c t="s" s="7" r="D416">
        <v>117</v>
      </c>
      <c t="s" s="7" r="E416">
        <v>49</v>
      </c>
      <c t="s" s="7" r="F416">
        <v>49</v>
      </c>
      <c t="s" s="7" r="G416">
        <v>49</v>
      </c>
      <c t="str" s="65" r="H416">
        <f>HYPERLINK("http://sofifa.com/en/fifa13winter/player/148636-kieran-gibbs","K. Gibbs")</f>
        <v>K. Gibbs</v>
      </c>
      <c s="7" r="I416">
        <v>78</v>
      </c>
      <c t="s" s="7" r="J416">
        <v>117</v>
      </c>
      <c t="s" s="7" r="K416">
        <v>114</v>
      </c>
      <c t="s" s="7" r="L416">
        <v>141</v>
      </c>
      <c s="7" r="M416">
        <v>22</v>
      </c>
      <c s="26" r="N416">
        <v>6.5</v>
      </c>
      <c s="23" r="O416">
        <v>0.017</v>
      </c>
      <c s="7" r="P416"/>
      <c s="7" r="Q416"/>
      <c s="7" r="R416">
        <f>IF((P416&gt;0),O416,0)</f>
        <v>0</v>
      </c>
      <c t="str" r="S416">
        <f>CONCATENATE(F416,E416)</f>
        <v>ArsenalArsenal</v>
      </c>
    </row>
    <row r="417">
      <c t="s" s="7" r="A417">
        <v>48</v>
      </c>
      <c s="7" r="B417">
        <v>73</v>
      </c>
      <c s="7" r="C417">
        <v>16</v>
      </c>
      <c t="s" s="7" r="D417">
        <v>174</v>
      </c>
      <c t="s" s="7" r="E417">
        <v>49</v>
      </c>
      <c t="s" s="7" r="F417">
        <v>49</v>
      </c>
      <c t="s" s="7" r="G417">
        <v>49</v>
      </c>
      <c t="str" s="65" r="H417">
        <f>HYPERLINK("http://sofifa.com/en/fifa13winter/player/149092-aaron-ramsey","A. Ramsey")</f>
        <v>A. Ramsey</v>
      </c>
      <c s="7" r="I417">
        <v>77</v>
      </c>
      <c t="s" s="7" r="J417">
        <v>124</v>
      </c>
      <c t="s" s="7" r="K417">
        <v>118</v>
      </c>
      <c t="s" s="7" r="L417">
        <v>137</v>
      </c>
      <c s="7" r="M417">
        <v>21</v>
      </c>
      <c s="26" r="N417">
        <v>6.5</v>
      </c>
      <c s="23" r="O417">
        <v>0.015</v>
      </c>
      <c s="7" r="P417"/>
      <c s="7" r="Q417"/>
      <c s="7" r="R417">
        <f>IF((P417&gt;0),O417,0)</f>
        <v>0</v>
      </c>
      <c t="str" r="S417">
        <f>CONCATENATE(F417,E417)</f>
        <v>ArsenalArsenal</v>
      </c>
    </row>
    <row r="418">
      <c t="s" s="7" r="A418">
        <v>48</v>
      </c>
      <c s="7" r="B418">
        <v>76</v>
      </c>
      <c s="7" r="C418">
        <v>7</v>
      </c>
      <c t="s" s="7" r="D418">
        <v>162</v>
      </c>
      <c t="s" s="7" r="E418">
        <v>49</v>
      </c>
      <c t="s" s="7" r="F418">
        <v>49</v>
      </c>
      <c t="s" s="7" r="G418">
        <v>49</v>
      </c>
      <c t="str" s="65" r="H418">
        <f>HYPERLINK("http://sofifa.com/en/fifa13winter/player/145357-tomas-rosicky","T. Rosický")</f>
        <v>T. Rosický</v>
      </c>
      <c s="7" r="I418">
        <v>80</v>
      </c>
      <c t="s" s="7" r="J418">
        <v>162</v>
      </c>
      <c t="s" s="7" r="K418">
        <v>145</v>
      </c>
      <c t="s" s="7" r="L418">
        <v>115</v>
      </c>
      <c s="7" r="M418">
        <v>31</v>
      </c>
      <c s="26" r="N418">
        <v>8.8</v>
      </c>
      <c s="23" r="O418">
        <v>0.035</v>
      </c>
      <c s="7" r="P418"/>
      <c s="7" r="Q418"/>
      <c s="7" r="R418">
        <f>IF((P418&gt;0),O418,0)</f>
        <v>0</v>
      </c>
      <c t="str" r="S418">
        <f>CONCATENATE(F418,E418)</f>
        <v>ArsenalArsenal</v>
      </c>
    </row>
    <row r="419">
      <c t="s" s="7" r="A419">
        <v>48</v>
      </c>
      <c s="7" r="B419">
        <v>78</v>
      </c>
      <c s="7" r="C419">
        <v>21</v>
      </c>
      <c t="s" s="7" r="D419">
        <v>136</v>
      </c>
      <c t="s" s="7" r="E419">
        <v>49</v>
      </c>
      <c t="s" s="7" r="F419">
        <v>49</v>
      </c>
      <c t="s" s="7" r="G419">
        <v>49</v>
      </c>
      <c t="str" s="65" r="H419">
        <f>HYPERLINK("http://sofifa.com/en/fifa13winter/player/147014-lukasz-fabianski","L. Fabiański")</f>
        <v>L. Fabiański</v>
      </c>
      <c s="7" r="I419">
        <v>76</v>
      </c>
      <c t="s" s="7" r="J419">
        <v>106</v>
      </c>
      <c t="s" s="7" r="K419">
        <v>152</v>
      </c>
      <c t="s" s="7" r="L419">
        <v>156</v>
      </c>
      <c s="7" r="M419">
        <v>27</v>
      </c>
      <c s="26" r="N419">
        <v>4</v>
      </c>
      <c s="23" r="O419">
        <v>0.015</v>
      </c>
      <c s="7" r="P419"/>
      <c s="7" r="Q419"/>
      <c s="7" r="R419">
        <f>IF((P419&gt;0),O419,0)</f>
        <v>0</v>
      </c>
      <c t="str" r="S419">
        <f>CONCATENATE(F419,E419)</f>
        <v>ArsenalArsenal</v>
      </c>
    </row>
    <row r="420">
      <c t="s" s="7" r="A420">
        <v>48</v>
      </c>
      <c s="7" r="B420">
        <v>79</v>
      </c>
      <c s="7" r="C420">
        <v>25</v>
      </c>
      <c t="s" s="7" r="D420">
        <v>136</v>
      </c>
      <c t="s" s="7" r="E420">
        <v>49</v>
      </c>
      <c t="s" s="7" r="F420">
        <v>49</v>
      </c>
      <c t="s" s="7" r="G420">
        <v>49</v>
      </c>
      <c t="str" s="65" r="H420">
        <f>HYPERLINK("http://sofifa.com/en/fifa13winter/player/149501-carl-jenkinson","C. Jenkinson")</f>
        <v>C. Jenkinson</v>
      </c>
      <c s="7" r="I420">
        <v>70</v>
      </c>
      <c t="s" s="7" r="J420">
        <v>109</v>
      </c>
      <c t="s" s="7" r="K420">
        <v>132</v>
      </c>
      <c t="s" s="7" r="L420">
        <v>138</v>
      </c>
      <c s="7" r="M420">
        <v>20</v>
      </c>
      <c s="26" r="N420">
        <v>1.9</v>
      </c>
      <c s="23" r="O420">
        <v>0.006</v>
      </c>
      <c s="7" r="P420"/>
      <c s="7" r="Q420"/>
      <c s="7" r="R420">
        <f>IF((P420&gt;0),O420,0)</f>
        <v>0</v>
      </c>
      <c t="str" r="S420">
        <f>CONCATENATE(F420,E420)</f>
        <v>ArsenalArsenal</v>
      </c>
    </row>
    <row r="421">
      <c t="s" s="7" r="A421">
        <v>48</v>
      </c>
      <c s="7" r="B421">
        <v>80</v>
      </c>
      <c s="7" r="C421">
        <v>15</v>
      </c>
      <c t="s" s="7" r="D421">
        <v>136</v>
      </c>
      <c t="s" s="7" r="E421">
        <v>49</v>
      </c>
      <c t="s" s="7" r="F421">
        <v>49</v>
      </c>
      <c t="s" s="7" r="G421">
        <v>49</v>
      </c>
      <c t="str" s="65" r="H421">
        <f>HYPERLINK("http://sofifa.com/en/fifa13winter/player/150055-alex-oxlade-chamberlain","A. Oxlade-Chamberlain")</f>
        <v>A. Oxlade-Chamberlain</v>
      </c>
      <c s="7" r="I421">
        <v>77</v>
      </c>
      <c t="s" s="7" r="J421">
        <v>157</v>
      </c>
      <c t="s" s="7" r="K421">
        <v>139</v>
      </c>
      <c t="s" s="7" r="L421">
        <v>122</v>
      </c>
      <c s="7" r="M421">
        <v>19</v>
      </c>
      <c s="26" r="N421">
        <v>7.1</v>
      </c>
      <c s="23" r="O421">
        <v>0.013</v>
      </c>
      <c s="7" r="P421"/>
      <c s="7" r="Q421"/>
      <c s="7" r="R421">
        <f>IF((P421&gt;0),O421,0)</f>
        <v>0</v>
      </c>
      <c t="str" r="S421">
        <f>CONCATENATE(F421,E421)</f>
        <v>ArsenalArsenal</v>
      </c>
    </row>
    <row r="422">
      <c t="s" s="7" r="A422">
        <v>48</v>
      </c>
      <c s="7" r="B422">
        <v>81</v>
      </c>
      <c s="7" r="C422">
        <v>26</v>
      </c>
      <c t="s" s="7" r="D422">
        <v>136</v>
      </c>
      <c t="s" s="7" r="E422">
        <v>49</v>
      </c>
      <c t="s" s="7" r="F422">
        <v>49</v>
      </c>
      <c t="s" s="7" r="G422">
        <v>49</v>
      </c>
      <c t="str" s="65" r="H422">
        <f>HYPERLINK("http://sofifa.com/en/fifa13winter/player/149472-emmanuel-frimpong","E. Frimpong")</f>
        <v>E. Frimpong</v>
      </c>
      <c s="7" r="I422">
        <v>68</v>
      </c>
      <c t="s" s="7" r="J422">
        <v>154</v>
      </c>
      <c t="s" s="7" r="K422">
        <v>172</v>
      </c>
      <c t="s" s="7" r="L422">
        <v>183</v>
      </c>
      <c s="7" r="M422">
        <v>20</v>
      </c>
      <c s="26" r="N422">
        <v>1.6</v>
      </c>
      <c s="23" r="O422">
        <v>0.005</v>
      </c>
      <c s="7" r="P422"/>
      <c s="7" r="Q422"/>
      <c s="7" r="R422">
        <f>IF((P422&gt;0),O422,0)</f>
        <v>0</v>
      </c>
      <c t="str" r="S422">
        <f>CONCATENATE(F422,E422)</f>
        <v>ArsenalArsenal</v>
      </c>
    </row>
    <row r="423">
      <c t="s" s="7" r="A423">
        <v>48</v>
      </c>
      <c s="7" r="B423">
        <v>83</v>
      </c>
      <c s="7" r="C423">
        <v>22</v>
      </c>
      <c t="s" s="7" r="D423">
        <v>136</v>
      </c>
      <c t="s" s="7" r="E423">
        <v>49</v>
      </c>
      <c t="s" s="7" r="F423">
        <v>49</v>
      </c>
      <c t="s" s="7" r="G423">
        <v>49</v>
      </c>
      <c t="str" s="65" r="H423">
        <f>HYPERLINK("http://sofifa.com/en/fifa13winter/player/149230-francis-coquelin","F. Coquelin")</f>
        <v>F. Coquelin</v>
      </c>
      <c s="7" r="I423">
        <v>73</v>
      </c>
      <c t="s" s="7" r="J423">
        <v>154</v>
      </c>
      <c t="s" s="7" r="K423">
        <v>118</v>
      </c>
      <c t="s" s="7" r="L423">
        <v>119</v>
      </c>
      <c s="7" r="M423">
        <v>21</v>
      </c>
      <c s="26" r="N423">
        <v>3.1</v>
      </c>
      <c s="23" r="O423">
        <v>0.009</v>
      </c>
      <c s="7" r="P423"/>
      <c s="7" r="Q423"/>
      <c s="7" r="R423">
        <f>IF((P423&gt;0),O423,0)</f>
        <v>0</v>
      </c>
      <c t="str" r="S423">
        <f>CONCATENATE(F423,E423)</f>
        <v>ArsenalArsenal</v>
      </c>
    </row>
    <row r="424">
      <c t="s" s="7" r="A424">
        <v>48</v>
      </c>
      <c s="7" r="B424">
        <v>87</v>
      </c>
      <c s="7" r="C424">
        <v>24</v>
      </c>
      <c t="s" s="7" r="D424">
        <v>136</v>
      </c>
      <c t="s" s="7" r="E424">
        <v>49</v>
      </c>
      <c t="s" s="7" r="F424">
        <v>49</v>
      </c>
      <c t="s" s="7" r="G424">
        <v>49</v>
      </c>
      <c t="str" s="65" r="H424">
        <f>HYPERLINK("http://sofifa.com/en/fifa13winter/player/148063-vito-mannone","V. Mannone")</f>
        <v>V. Mannone</v>
      </c>
      <c s="7" r="I424">
        <v>71</v>
      </c>
      <c t="s" s="7" r="J424">
        <v>106</v>
      </c>
      <c t="s" s="7" r="K424">
        <v>144</v>
      </c>
      <c t="s" s="7" r="L424">
        <v>153</v>
      </c>
      <c s="7" r="M424">
        <v>24</v>
      </c>
      <c s="26" r="N424">
        <v>1.9</v>
      </c>
      <c s="23" r="O424">
        <v>0.008</v>
      </c>
      <c s="7" r="P424"/>
      <c s="7" r="Q424"/>
      <c s="7" r="R424">
        <f>IF((P424&gt;0),O424,0)</f>
        <v>0</v>
      </c>
      <c t="str" r="S424">
        <f>CONCATENATE(F424,E424)</f>
        <v>ArsenalArsenal</v>
      </c>
    </row>
    <row r="425">
      <c t="s" s="7" r="A425">
        <v>48</v>
      </c>
      <c s="7" r="B425">
        <v>88</v>
      </c>
      <c s="7" r="C425">
        <v>17</v>
      </c>
      <c t="s" s="7" r="D425">
        <v>136</v>
      </c>
      <c t="s" s="7" r="E425">
        <v>49</v>
      </c>
      <c t="s" s="7" r="F425">
        <v>49</v>
      </c>
      <c t="s" s="7" r="G425">
        <v>49</v>
      </c>
      <c t="str" s="65" r="H425">
        <f>HYPERLINK("http://sofifa.com/en/fifa13winter/player/147328-ignacio-monreal-eraso","Monreal")</f>
        <v>Monreal</v>
      </c>
      <c s="7" r="I425">
        <v>78</v>
      </c>
      <c t="s" s="7" r="J425">
        <v>117</v>
      </c>
      <c t="s" s="7" r="K425">
        <v>118</v>
      </c>
      <c t="s" s="7" r="L425">
        <v>146</v>
      </c>
      <c s="7" r="M425">
        <v>26</v>
      </c>
      <c s="26" r="N425">
        <v>6</v>
      </c>
      <c s="23" r="O425">
        <v>0.019</v>
      </c>
      <c s="7" r="P425"/>
      <c s="7" r="Q425"/>
      <c s="7" r="R425">
        <f>IF((P425&gt;0),O425,0)</f>
        <v>0</v>
      </c>
      <c t="str" r="S425">
        <f>CONCATENATE(F425,E425)</f>
        <v>ArsenalArsenal</v>
      </c>
    </row>
    <row r="426">
      <c t="s" s="7" r="A426">
        <v>48</v>
      </c>
      <c s="7" r="B426">
        <v>89</v>
      </c>
      <c s="7" r="C426">
        <v>2</v>
      </c>
      <c t="s" s="7" r="D426">
        <v>136</v>
      </c>
      <c t="s" s="7" r="E426">
        <v>49</v>
      </c>
      <c t="s" s="7" r="F426">
        <v>49</v>
      </c>
      <c t="s" s="7" r="G426">
        <v>49</v>
      </c>
      <c t="str" s="65" r="H426">
        <f>HYPERLINK("http://sofifa.com/en/fifa13winter/player/147402-abou-diaby","A. Diaby")</f>
        <v>A. Diaby</v>
      </c>
      <c s="7" r="I426">
        <v>77</v>
      </c>
      <c t="s" s="7" r="J426">
        <v>124</v>
      </c>
      <c t="s" s="7" r="K426">
        <v>134</v>
      </c>
      <c t="s" s="7" r="L426">
        <v>137</v>
      </c>
      <c s="7" r="M426">
        <v>26</v>
      </c>
      <c s="26" r="N426">
        <v>5.5</v>
      </c>
      <c s="23" r="O426">
        <v>0.017</v>
      </c>
      <c s="7" r="P426"/>
      <c s="7" r="Q426"/>
      <c s="7" r="R426">
        <f>IF((P426&gt;0),O426,0)</f>
        <v>0</v>
      </c>
      <c t="str" r="S426">
        <f>CONCATENATE(F426,E426)</f>
        <v>ArsenalArsenal</v>
      </c>
    </row>
    <row r="427">
      <c t="s" s="7" r="A427">
        <v>48</v>
      </c>
      <c s="7" r="B427">
        <v>90</v>
      </c>
      <c s="7" r="C427">
        <v>36</v>
      </c>
      <c t="s" s="7" r="D427">
        <v>147</v>
      </c>
      <c t="s" s="7" r="E427">
        <v>49</v>
      </c>
      <c t="s" s="7" r="F427">
        <v>49</v>
      </c>
      <c t="s" s="7" r="G427">
        <v>49</v>
      </c>
      <c t="str" s="65" r="H427">
        <f>HYPERLINK("http://sofifa.com/en/fifa13winter/player/149708-damian-martinez","D. Martinez")</f>
        <v>D. Martinez</v>
      </c>
      <c s="7" r="I427">
        <v>62</v>
      </c>
      <c t="s" s="7" r="J427">
        <v>106</v>
      </c>
      <c t="s" s="7" r="K427">
        <v>144</v>
      </c>
      <c t="s" s="7" r="L427">
        <v>175</v>
      </c>
      <c s="7" r="M427">
        <v>19</v>
      </c>
      <c s="26" r="N427">
        <v>0.6</v>
      </c>
      <c s="23" r="O427">
        <v>0.003</v>
      </c>
      <c s="7" r="P427"/>
      <c s="7" r="Q427"/>
      <c s="7" r="R427">
        <f>IF((P427&gt;0),O427,0)</f>
        <v>0</v>
      </c>
      <c t="str" r="S427">
        <f>CONCATENATE(F427,E427)</f>
        <v>ArsenalArsenal</v>
      </c>
    </row>
    <row r="428">
      <c t="s" s="7" r="A428">
        <v>48</v>
      </c>
      <c s="7" r="B428">
        <v>91</v>
      </c>
      <c s="7" r="C428">
        <v>47</v>
      </c>
      <c t="s" s="7" r="D428">
        <v>147</v>
      </c>
      <c t="s" s="7" r="E428">
        <v>49</v>
      </c>
      <c t="s" s="7" r="F428">
        <v>49</v>
      </c>
      <c t="s" s="7" r="G428">
        <v>49</v>
      </c>
      <c t="str" s="65" r="H428">
        <f>HYPERLINK("http://sofifa.com/en/fifa13winter/player/150753-serge-gnabry","S. Gnabry")</f>
        <v>S. Gnabry</v>
      </c>
      <c s="7" r="I428">
        <v>63</v>
      </c>
      <c t="s" s="7" r="J428">
        <v>157</v>
      </c>
      <c t="s" s="7" r="K428">
        <v>130</v>
      </c>
      <c t="s" s="7" r="L428">
        <v>119</v>
      </c>
      <c s="7" r="M428">
        <v>17</v>
      </c>
      <c s="26" r="N428">
        <v>1</v>
      </c>
      <c s="23" r="O428">
        <v>0.003</v>
      </c>
      <c s="7" r="P428"/>
      <c s="7" r="Q428"/>
      <c s="7" r="R428">
        <f>IF((P428&gt;0),O428,0)</f>
        <v>0</v>
      </c>
      <c t="str" r="S428">
        <f>CONCATENATE(F428,E428)</f>
        <v>ArsenalArsenal</v>
      </c>
    </row>
    <row r="429">
      <c t="s" s="7" r="A429">
        <v>48</v>
      </c>
      <c s="7" r="B429">
        <v>92</v>
      </c>
      <c s="7" r="C429">
        <v>29</v>
      </c>
      <c t="s" s="7" r="D429">
        <v>147</v>
      </c>
      <c t="s" s="7" r="E429">
        <v>49</v>
      </c>
      <c t="s" s="7" r="F429">
        <v>49</v>
      </c>
      <c t="s" s="7" r="G429">
        <v>49</v>
      </c>
      <c t="str" s="65" r="H429">
        <f>HYPERLINK("http://sofifa.com/en/fifa13winter/player/146550-marouane-chamakh","M. Chamakh")</f>
        <v>M. Chamakh</v>
      </c>
      <c s="7" r="I429">
        <v>76</v>
      </c>
      <c t="s" s="7" r="J429">
        <v>129</v>
      </c>
      <c t="s" s="7" r="K429">
        <v>134</v>
      </c>
      <c t="s" s="7" r="L429">
        <v>122</v>
      </c>
      <c s="7" r="M429">
        <v>28</v>
      </c>
      <c s="26" r="N429">
        <v>5.6</v>
      </c>
      <c s="23" r="O429">
        <v>0.015</v>
      </c>
      <c s="7" r="P429"/>
      <c s="7" r="Q429"/>
      <c s="7" r="R429">
        <f>IF((P429&gt;0),O429,0)</f>
        <v>0</v>
      </c>
      <c t="str" r="S429">
        <f>CONCATENATE(F429,E429)</f>
        <v>ArsenalArsenal</v>
      </c>
    </row>
    <row r="430">
      <c t="s" s="7" r="A430">
        <v>48</v>
      </c>
      <c s="7" r="B430">
        <v>93</v>
      </c>
      <c s="7" r="C430">
        <v>46</v>
      </c>
      <c t="s" s="7" r="D430">
        <v>147</v>
      </c>
      <c t="s" s="7" r="E430">
        <v>49</v>
      </c>
      <c t="s" s="7" r="F430">
        <v>49</v>
      </c>
      <c t="s" s="7" r="G430">
        <v>49</v>
      </c>
      <c t="str" s="65" r="H430">
        <f>HYPERLINK("http://sofifa.com/en/fifa13winter/player/149846-thomas-eisfeld","T. Eisfeld")</f>
        <v>T. Eisfeld</v>
      </c>
      <c s="7" r="I430">
        <v>59</v>
      </c>
      <c t="s" s="7" r="J430">
        <v>162</v>
      </c>
      <c t="s" s="7" r="K430">
        <v>159</v>
      </c>
      <c t="s" s="7" r="L430">
        <v>115</v>
      </c>
      <c s="7" r="M430">
        <v>19</v>
      </c>
      <c s="26" r="N430">
        <v>0.5</v>
      </c>
      <c s="23" r="O430">
        <v>0.002</v>
      </c>
      <c s="7" r="P430"/>
      <c s="7" r="Q430"/>
      <c s="7" r="R430">
        <f>IF((P430&gt;0),O430,0)</f>
        <v>0</v>
      </c>
      <c t="str" r="S430">
        <f>CONCATENATE(F430,E430)</f>
        <v>ArsenalArsenal</v>
      </c>
    </row>
    <row r="431">
      <c t="s" s="7" r="A431">
        <v>48</v>
      </c>
      <c s="7" r="B431">
        <v>94</v>
      </c>
      <c s="7" r="C431">
        <v>64</v>
      </c>
      <c t="s" s="7" r="D431">
        <v>147</v>
      </c>
      <c t="s" s="7" r="E431">
        <v>49</v>
      </c>
      <c t="s" s="7" r="F431">
        <v>49</v>
      </c>
      <c t="s" s="7" r="G431">
        <v>49</v>
      </c>
      <c t="str" s="65" r="H431">
        <f>HYPERLINK("http://sofifa.com/en/fifa13winter/player/149971-nicholas-yennaris","N. Yennaris")</f>
        <v>N. Yennaris</v>
      </c>
      <c s="7" r="I431">
        <v>61</v>
      </c>
      <c t="s" s="7" r="J431">
        <v>154</v>
      </c>
      <c t="s" s="7" r="K431">
        <v>130</v>
      </c>
      <c t="s" s="7" r="L431">
        <v>137</v>
      </c>
      <c s="7" r="M431">
        <v>19</v>
      </c>
      <c s="26" r="N431">
        <v>0.6</v>
      </c>
      <c s="23" r="O431">
        <v>0.003</v>
      </c>
      <c s="7" r="P431"/>
      <c s="7" r="Q431"/>
      <c s="7" r="R431">
        <f>IF((P431&gt;0),O431,0)</f>
        <v>0</v>
      </c>
      <c t="str" r="S431">
        <f>CONCATENATE(F431,E431)</f>
        <v>ArsenalArsenal</v>
      </c>
    </row>
    <row r="432">
      <c t="s" s="7" r="A432">
        <v>48</v>
      </c>
      <c s="7" r="B432">
        <v>95</v>
      </c>
      <c s="7" r="C432">
        <v>34</v>
      </c>
      <c t="s" s="7" r="D432">
        <v>147</v>
      </c>
      <c t="s" s="7" r="E432">
        <v>49</v>
      </c>
      <c t="s" s="7" r="F432">
        <v>49</v>
      </c>
      <c t="s" s="7" r="G432">
        <v>49</v>
      </c>
      <c t="str" s="65" r="H432">
        <f>HYPERLINK("http://sofifa.com/en/fifa13winter/player/150012-chuks-aneke","C. Aneke")</f>
        <v>C. Aneke</v>
      </c>
      <c s="7" r="I432">
        <v>61</v>
      </c>
      <c t="s" s="7" r="J432">
        <v>124</v>
      </c>
      <c t="s" s="7" r="K432">
        <v>144</v>
      </c>
      <c t="s" s="7" r="L432">
        <v>108</v>
      </c>
      <c s="7" r="M432">
        <v>19</v>
      </c>
      <c s="26" r="N432">
        <v>0.7</v>
      </c>
      <c s="23" r="O432">
        <v>0.003</v>
      </c>
      <c s="7" r="P432"/>
      <c s="7" r="Q432"/>
      <c s="7" r="R432">
        <f>IF((P432&gt;0),O432,0)</f>
        <v>0</v>
      </c>
      <c t="str" r="S432">
        <f>CONCATENATE(F432,E432)</f>
        <v>ArsenalArsenal</v>
      </c>
    </row>
    <row r="433">
      <c t="s" s="7" r="A433">
        <v>48</v>
      </c>
      <c s="7" r="B433">
        <v>96</v>
      </c>
      <c s="7" r="C433">
        <v>31</v>
      </c>
      <c t="s" s="7" r="D433">
        <v>147</v>
      </c>
      <c t="s" s="7" r="E433">
        <v>49</v>
      </c>
      <c t="s" s="7" r="F433">
        <v>49</v>
      </c>
      <c t="s" s="7" r="G433">
        <v>49</v>
      </c>
      <c t="str" s="65" r="H433">
        <f>HYPERLINK("http://sofifa.com/en/fifa13winter/player/149811-ryo-miyaichi","R. Miyaichi")</f>
        <v>R. Miyaichi</v>
      </c>
      <c s="7" r="I433">
        <v>71</v>
      </c>
      <c t="s" s="7" r="J433">
        <v>157</v>
      </c>
      <c t="s" s="7" r="K433">
        <v>110</v>
      </c>
      <c t="s" s="7" r="L433">
        <v>142</v>
      </c>
      <c s="7" r="M433">
        <v>19</v>
      </c>
      <c s="26" r="N433">
        <v>3.1</v>
      </c>
      <c s="23" r="O433">
        <v>0.006</v>
      </c>
      <c s="7" r="P433"/>
      <c s="7" r="Q433"/>
      <c s="7" r="R433">
        <f>IF((P433&gt;0),O433,0)</f>
        <v>0</v>
      </c>
      <c t="str" r="S433">
        <f>CONCATENATE(F433,E433)</f>
        <v>ArsenalArsenal</v>
      </c>
    </row>
    <row r="434">
      <c t="s" s="7" r="A434">
        <v>48</v>
      </c>
      <c s="7" r="B434">
        <v>97</v>
      </c>
      <c s="7" r="C434">
        <v>51</v>
      </c>
      <c t="s" s="7" r="D434">
        <v>147</v>
      </c>
      <c t="s" s="7" r="E434">
        <v>49</v>
      </c>
      <c t="s" s="7" r="F434">
        <v>49</v>
      </c>
      <c t="s" s="7" r="G434">
        <v>49</v>
      </c>
      <c t="str" s="65" r="H434">
        <f>HYPERLINK("http://sofifa.com/en/fifa13winter/player/149871-benik-afobe","B. Afobe")</f>
        <v>B. Afobe</v>
      </c>
      <c s="7" r="I434">
        <v>66</v>
      </c>
      <c t="s" s="7" r="J434">
        <v>129</v>
      </c>
      <c t="s" s="7" r="K434">
        <v>110</v>
      </c>
      <c t="s" s="7" r="L434">
        <v>138</v>
      </c>
      <c s="7" r="M434">
        <v>19</v>
      </c>
      <c s="26" r="N434">
        <v>1.6</v>
      </c>
      <c s="23" r="O434">
        <v>0.004</v>
      </c>
      <c s="7" r="P434"/>
      <c s="7" r="Q434"/>
      <c s="7" r="R434">
        <f>IF((P434&gt;0),O434,0)</f>
        <v>0</v>
      </c>
      <c t="str" r="S434">
        <f>CONCATENATE(F434,E434)</f>
        <v>ArsenalArsenal</v>
      </c>
    </row>
    <row r="435">
      <c t="s" s="7" r="A435">
        <v>48</v>
      </c>
      <c s="7" r="B435">
        <v>98</v>
      </c>
      <c s="7" r="C435">
        <v>54</v>
      </c>
      <c t="s" s="7" r="D435">
        <v>147</v>
      </c>
      <c t="s" s="7" r="E435">
        <v>49</v>
      </c>
      <c t="s" s="7" r="F435">
        <v>49</v>
      </c>
      <c t="s" s="7" r="G435">
        <v>49</v>
      </c>
      <c t="str" s="65" r="H435">
        <f>HYPERLINK("http://sofifa.com/en/fifa13winter/player/149734-ignasi-miquel-i-pons","Miquel")</f>
        <v>Miquel</v>
      </c>
      <c s="7" r="I435">
        <v>66</v>
      </c>
      <c t="s" s="7" r="J435">
        <v>113</v>
      </c>
      <c t="s" s="7" r="K435">
        <v>107</v>
      </c>
      <c t="s" s="7" r="L435">
        <v>179</v>
      </c>
      <c s="7" r="M435">
        <v>19</v>
      </c>
      <c s="26" r="N435">
        <v>1.3</v>
      </c>
      <c s="23" r="O435">
        <v>0.004</v>
      </c>
      <c s="7" r="P435"/>
      <c s="7" r="Q435"/>
      <c s="7" r="R435">
        <f>IF((P435&gt;0),O435,0)</f>
        <v>0</v>
      </c>
      <c t="str" r="S435">
        <f>CONCATENATE(F435,E435)</f>
        <v>ArsenalArsenal</v>
      </c>
    </row>
    <row r="436">
      <c t="s" s="7" r="A436">
        <v>48</v>
      </c>
      <c s="7" r="B436">
        <v>99</v>
      </c>
      <c s="7" r="C436">
        <v>67</v>
      </c>
      <c t="s" s="7" r="D436">
        <v>147</v>
      </c>
      <c t="s" s="7" r="E436">
        <v>49</v>
      </c>
      <c t="s" s="7" r="F436">
        <v>49</v>
      </c>
      <c t="s" s="7" r="G436">
        <v>49</v>
      </c>
      <c t="str" s="65" r="H436">
        <f>HYPERLINK("http://sofifa.com/en/fifa13winter/player/150840-chuba-akpom","C. Akpom")</f>
        <v>C. Akpom</v>
      </c>
      <c s="7" r="I436">
        <v>58</v>
      </c>
      <c t="s" s="7" r="J436">
        <v>129</v>
      </c>
      <c t="s" s="7" r="K436">
        <v>110</v>
      </c>
      <c t="s" s="7" r="L436">
        <v>138</v>
      </c>
      <c s="7" r="M436">
        <v>16</v>
      </c>
      <c s="26" r="N436">
        <v>0.4</v>
      </c>
      <c s="23" r="O436">
        <v>0.002</v>
      </c>
      <c s="7" r="P436"/>
      <c s="7" r="Q436"/>
      <c s="7" r="R436">
        <f>IF((P436&gt;0),O436,0)</f>
        <v>0</v>
      </c>
      <c t="str" r="S436">
        <f>CONCATENATE(F436,E436)</f>
        <v>ArsenalArsenal</v>
      </c>
    </row>
    <row r="437">
      <c t="s" s="7" r="A437">
        <v>201</v>
      </c>
      <c s="7" r="B437">
        <v>1</v>
      </c>
      <c s="7" r="C437">
        <v>1</v>
      </c>
      <c t="s" s="7" r="D437">
        <v>106</v>
      </c>
      <c t="s" s="7" r="E437">
        <v>5</v>
      </c>
      <c t="s" s="7" r="F437">
        <v>5</v>
      </c>
      <c t="s" s="7" r="G437">
        <v>69</v>
      </c>
      <c t="str" s="65" r="H437">
        <f>HYPERLINK("http://sofifa.com/en/fifa13winter/player/149043-david-de-gea-quintana","De Gea")</f>
        <v>De Gea</v>
      </c>
      <c s="7" r="I437">
        <v>81</v>
      </c>
      <c t="s" s="7" r="J437">
        <v>106</v>
      </c>
      <c t="s" s="7" r="K437">
        <v>107</v>
      </c>
      <c t="s" s="7" r="L437">
        <v>193</v>
      </c>
      <c s="7" r="M437">
        <v>21</v>
      </c>
      <c s="26" r="N437">
        <v>10.6</v>
      </c>
      <c s="23" r="O437">
        <v>0.035</v>
      </c>
      <c s="7" r="P437"/>
      <c s="7" r="Q437"/>
      <c s="7" r="R437">
        <f>IF((P437&gt;0),O437,0)</f>
        <v>0</v>
      </c>
      <c t="str" r="S437">
        <f>CONCATENATE(F437,E437)</f>
        <v>FIFA TrustFIFA Trust</v>
      </c>
    </row>
    <row r="438">
      <c t="s" s="7" r="A438">
        <v>201</v>
      </c>
      <c s="7" r="B438">
        <v>3</v>
      </c>
      <c s="7" r="C438">
        <v>5</v>
      </c>
      <c t="s" s="7" r="D438">
        <v>112</v>
      </c>
      <c t="s" s="7" r="E438">
        <v>5</v>
      </c>
      <c t="s" s="7" r="F438">
        <v>5</v>
      </c>
      <c t="s" s="7" r="G438">
        <v>69</v>
      </c>
      <c t="str" s="65" r="H438">
        <f>HYPERLINK("http://sofifa.com/en/fifa13winter/player/144660-rio-ferdinand","R. Ferdinand")</f>
        <v>R. Ferdinand</v>
      </c>
      <c s="7" r="I438">
        <v>83</v>
      </c>
      <c t="s" s="7" r="J438">
        <v>113</v>
      </c>
      <c t="s" s="7" r="K438">
        <v>198</v>
      </c>
      <c t="s" s="7" r="L438">
        <v>192</v>
      </c>
      <c s="7" r="M438">
        <v>33</v>
      </c>
      <c s="26" r="N438">
        <v>12.3</v>
      </c>
      <c s="23" r="O438">
        <v>0.085</v>
      </c>
      <c s="7" r="P438"/>
      <c s="7" r="Q438"/>
      <c s="7" r="R438">
        <f>IF((P438&gt;0),O438,0)</f>
        <v>0</v>
      </c>
      <c t="str" r="S438">
        <f>CONCATENATE(F438,E438)</f>
        <v>FIFA TrustFIFA Trust</v>
      </c>
    </row>
    <row r="439">
      <c t="s" s="7" r="A439">
        <v>201</v>
      </c>
      <c s="7" r="B439">
        <v>4</v>
      </c>
      <c s="7" r="C439">
        <v>15</v>
      </c>
      <c t="s" s="7" r="D439">
        <v>116</v>
      </c>
      <c t="s" s="7" r="E439">
        <v>5</v>
      </c>
      <c t="s" s="7" r="F439">
        <v>5</v>
      </c>
      <c t="s" s="7" r="G439">
        <v>69</v>
      </c>
      <c t="str" s="65" r="H439">
        <f>HYPERLINK("http://sofifa.com/en/fifa13winter/player/145739-nemanja-vidic","N. Vidić")</f>
        <v>N. Vidić</v>
      </c>
      <c s="7" r="I439">
        <v>87</v>
      </c>
      <c t="s" s="7" r="J439">
        <v>113</v>
      </c>
      <c t="s" s="7" r="K439">
        <v>169</v>
      </c>
      <c t="s" s="7" r="L439">
        <v>175</v>
      </c>
      <c s="7" r="M439">
        <v>30</v>
      </c>
      <c s="26" r="N439">
        <v>30.1</v>
      </c>
      <c s="23" r="O439">
        <v>0.19</v>
      </c>
      <c s="7" r="P439"/>
      <c s="7" r="Q439"/>
      <c s="7" r="R439">
        <f>IF((P439&gt;0),O439,0)</f>
        <v>0</v>
      </c>
      <c t="str" r="S439">
        <f>CONCATENATE(F439,E439)</f>
        <v>FIFA TrustFIFA Trust</v>
      </c>
    </row>
    <row r="440">
      <c t="s" s="7" r="A440">
        <v>201</v>
      </c>
      <c s="7" r="B440">
        <v>5</v>
      </c>
      <c s="7" r="C440">
        <v>3</v>
      </c>
      <c t="s" s="7" r="D440">
        <v>117</v>
      </c>
      <c t="s" s="7" r="E440">
        <v>5</v>
      </c>
      <c t="s" s="7" r="F440">
        <v>5</v>
      </c>
      <c t="s" s="7" r="G440">
        <v>69</v>
      </c>
      <c t="str" s="65" r="H440">
        <f>HYPERLINK("http://sofifa.com/en/fifa13winter/player/145580-patrice-evra","P. Evra")</f>
        <v>P. Evra</v>
      </c>
      <c s="7" r="I440">
        <v>82</v>
      </c>
      <c t="s" s="7" r="J440">
        <v>117</v>
      </c>
      <c t="s" s="7" r="K440">
        <v>130</v>
      </c>
      <c t="s" s="7" r="L440">
        <v>146</v>
      </c>
      <c s="7" r="M440">
        <v>31</v>
      </c>
      <c s="26" r="N440">
        <v>10.1</v>
      </c>
      <c s="23" r="O440">
        <v>0.062</v>
      </c>
      <c s="7" r="P440"/>
      <c s="7" r="Q440"/>
      <c s="7" r="R440">
        <f>IF((P440&gt;0),O440,0)</f>
        <v>0</v>
      </c>
      <c t="str" r="S440">
        <f>CONCATENATE(F440,E440)</f>
        <v>FIFA TrustFIFA Trust</v>
      </c>
    </row>
    <row r="441">
      <c t="s" s="7" r="A441">
        <v>201</v>
      </c>
      <c s="7" r="B441">
        <v>6</v>
      </c>
      <c s="7" r="C441">
        <v>7</v>
      </c>
      <c t="s" s="7" r="D441">
        <v>120</v>
      </c>
      <c t="s" s="7" r="E441">
        <v>5</v>
      </c>
      <c t="s" s="7" r="F441">
        <v>5</v>
      </c>
      <c t="s" s="7" r="G441">
        <v>69</v>
      </c>
      <c t="str" s="65" r="H441">
        <f>HYPERLINK("http://sofifa.com/en/fifa13winter/player/147122-antonio-valencia","A. Valencia")</f>
        <v>A. Valencia</v>
      </c>
      <c s="7" r="I441">
        <v>83</v>
      </c>
      <c t="s" s="7" r="J441">
        <v>120</v>
      </c>
      <c t="s" s="7" r="K441">
        <v>150</v>
      </c>
      <c t="s" s="7" r="L441">
        <v>161</v>
      </c>
      <c s="7" r="M441">
        <v>27</v>
      </c>
      <c s="26" r="N441">
        <v>15.6</v>
      </c>
      <c s="23" r="O441">
        <v>0.068</v>
      </c>
      <c s="7" r="P441"/>
      <c s="7" r="Q441"/>
      <c s="7" r="R441">
        <f>IF((P441&gt;0),O441,0)</f>
        <v>0</v>
      </c>
      <c t="str" r="S441">
        <f>CONCATENATE(F441,E441)</f>
        <v>FIFA TrustFIFA Trust</v>
      </c>
    </row>
    <row r="442">
      <c t="s" s="7" r="A442">
        <v>201</v>
      </c>
      <c s="7" r="B442">
        <v>7</v>
      </c>
      <c s="7" r="C442">
        <v>16</v>
      </c>
      <c t="s" s="7" r="D442">
        <v>123</v>
      </c>
      <c t="s" s="7" r="E442">
        <v>5</v>
      </c>
      <c t="s" s="7" r="F442">
        <v>5</v>
      </c>
      <c t="s" s="7" r="G442">
        <v>69</v>
      </c>
      <c t="str" s="65" r="H442">
        <f>HYPERLINK("http://sofifa.com/en/fifa13winter/player/145654-michael-carrick","M. Carrick")</f>
        <v>M. Carrick</v>
      </c>
      <c s="7" r="I442">
        <v>82</v>
      </c>
      <c t="s" s="7" r="J442">
        <v>124</v>
      </c>
      <c t="s" s="7" r="K442">
        <v>134</v>
      </c>
      <c t="s" s="7" r="L442">
        <v>160</v>
      </c>
      <c s="7" r="M442">
        <v>31</v>
      </c>
      <c s="26" r="N442">
        <v>11.2</v>
      </c>
      <c s="23" r="O442">
        <v>0.062</v>
      </c>
      <c s="7" r="P442"/>
      <c s="7" r="Q442"/>
      <c s="7" r="R442">
        <f>IF((P442&gt;0),O442,0)</f>
        <v>0</v>
      </c>
      <c t="str" r="S442">
        <f>CONCATENATE(F442,E442)</f>
        <v>FIFA TrustFIFA Trust</v>
      </c>
    </row>
    <row r="443">
      <c t="s" s="7" r="A443">
        <v>201</v>
      </c>
      <c s="7" r="B443">
        <v>10</v>
      </c>
      <c s="7" r="C443">
        <v>20</v>
      </c>
      <c t="s" s="7" r="D443">
        <v>171</v>
      </c>
      <c t="s" s="7" r="E443">
        <v>5</v>
      </c>
      <c t="s" s="7" r="F443">
        <v>5</v>
      </c>
      <c t="s" s="7" r="G443">
        <v>69</v>
      </c>
      <c t="str" s="65" r="H443">
        <f>HYPERLINK("http://sofifa.com/en/fifa13winter/player/146393-robin-van-persie","R. van Persie")</f>
        <v>R. van Persie</v>
      </c>
      <c s="7" r="I443">
        <v>89</v>
      </c>
      <c t="s" s="7" r="J443">
        <v>129</v>
      </c>
      <c t="s" s="7" r="K443">
        <v>110</v>
      </c>
      <c t="s" s="7" r="L443">
        <v>146</v>
      </c>
      <c s="7" r="M443">
        <v>29</v>
      </c>
      <c s="26" r="N443">
        <v>46.3</v>
      </c>
      <c s="23" r="O443">
        <v>0.27</v>
      </c>
      <c s="7" r="P443"/>
      <c s="7" r="Q443"/>
      <c s="7" r="R443">
        <f>IF((P443&gt;0),O443,0)</f>
        <v>0</v>
      </c>
      <c t="str" r="S443">
        <f>CONCATENATE(F443,E443)</f>
        <v>FIFA TrustFIFA Trust</v>
      </c>
    </row>
    <row r="444">
      <c t="s" s="7" r="A444">
        <v>201</v>
      </c>
      <c s="7" r="B444">
        <v>11</v>
      </c>
      <c s="7" r="C444">
        <v>14</v>
      </c>
      <c t="s" s="7" r="D444">
        <v>129</v>
      </c>
      <c t="s" s="7" r="E444">
        <v>5</v>
      </c>
      <c t="s" s="7" r="F444">
        <v>5</v>
      </c>
      <c t="s" s="7" r="G444">
        <v>69</v>
      </c>
      <c t="str" s="65" r="H444">
        <f>HYPERLINK("http://sofifa.com/en/fifa13winter/player/148154-javier-hernandez","J. Hernández")</f>
        <v>J. Hernández</v>
      </c>
      <c s="7" r="I444">
        <v>82</v>
      </c>
      <c t="s" s="7" r="J444">
        <v>129</v>
      </c>
      <c t="s" s="7" r="K444">
        <v>139</v>
      </c>
      <c t="s" s="7" r="L444">
        <v>127</v>
      </c>
      <c s="7" r="M444">
        <v>24</v>
      </c>
      <c s="26" r="N444">
        <v>17.4</v>
      </c>
      <c s="23" r="O444">
        <v>0.053</v>
      </c>
      <c s="7" r="P444"/>
      <c s="7" r="Q444"/>
      <c s="7" r="R444">
        <f>IF((P444&gt;0),O444,0)</f>
        <v>0</v>
      </c>
      <c t="str" r="S444">
        <f>CONCATENATE(F444,E444)</f>
        <v>FIFA TrustFIFA Trust</v>
      </c>
    </row>
    <row r="445">
      <c t="s" s="7" r="A445">
        <v>201</v>
      </c>
      <c s="7" r="B445">
        <v>13</v>
      </c>
      <c s="7" r="C445">
        <v>26</v>
      </c>
      <c t="s" s="7" r="D445">
        <v>136</v>
      </c>
      <c t="s" s="7" r="E445">
        <v>5</v>
      </c>
      <c t="s" s="7" r="F445">
        <v>5</v>
      </c>
      <c t="s" s="7" r="G445">
        <v>69</v>
      </c>
      <c t="str" s="65" r="H445">
        <f>HYPERLINK("http://sofifa.com/en/fifa13winter/player/148443-shinji-kagawa","S. Kagawa")</f>
        <v>S. Kagawa</v>
      </c>
      <c s="7" r="I445">
        <v>83</v>
      </c>
      <c t="s" s="7" r="J445">
        <v>162</v>
      </c>
      <c t="s" s="7" r="K445">
        <v>187</v>
      </c>
      <c t="s" s="7" r="L445">
        <v>141</v>
      </c>
      <c s="7" r="M445">
        <v>23</v>
      </c>
      <c s="26" r="N445">
        <v>20.4</v>
      </c>
      <c s="23" r="O445">
        <v>0.065</v>
      </c>
      <c s="7" r="P445"/>
      <c s="7" r="Q445"/>
      <c s="7" r="R445">
        <f>IF((P445&gt;0),O445,0)</f>
        <v>0</v>
      </c>
      <c t="str" r="S445">
        <f>CONCATENATE(F445,E445)</f>
        <v>FIFA TrustFIFA Trust</v>
      </c>
    </row>
    <row r="446">
      <c t="s" s="7" r="A446">
        <v>201</v>
      </c>
      <c s="7" r="B446">
        <v>15</v>
      </c>
      <c s="7" r="C446">
        <v>19</v>
      </c>
      <c t="s" s="7" r="D446">
        <v>136</v>
      </c>
      <c t="s" s="7" r="E446">
        <v>5</v>
      </c>
      <c t="s" s="7" r="F446">
        <v>5</v>
      </c>
      <c t="s" s="7" r="G446">
        <v>69</v>
      </c>
      <c t="str" s="65" r="H446">
        <f>HYPERLINK("http://sofifa.com/en/fifa13winter/player/149062-danny-welbeck","D. Welbeck")</f>
        <v>D. Welbeck</v>
      </c>
      <c s="7" r="I446">
        <v>79</v>
      </c>
      <c t="s" s="7" r="J446">
        <v>129</v>
      </c>
      <c t="s" s="7" r="K446">
        <v>132</v>
      </c>
      <c t="s" s="7" r="L446">
        <v>119</v>
      </c>
      <c s="7" r="M446">
        <v>21</v>
      </c>
      <c s="26" r="N446">
        <v>10.1</v>
      </c>
      <c s="23" r="O446">
        <v>0.019</v>
      </c>
      <c s="7" r="P446"/>
      <c s="7" r="Q446"/>
      <c s="7" r="R446">
        <f>IF((P446&gt;0),O446,0)</f>
        <v>0</v>
      </c>
      <c t="str" r="S446">
        <f>CONCATENATE(F446,E446)</f>
        <v>FIFA TrustFIFA Trust</v>
      </c>
    </row>
    <row r="447">
      <c t="s" s="7" r="A447">
        <v>201</v>
      </c>
      <c s="7" r="B447">
        <v>17</v>
      </c>
      <c s="7" r="C447">
        <v>10</v>
      </c>
      <c t="s" s="7" r="D447">
        <v>136</v>
      </c>
      <c t="s" s="7" r="E447">
        <v>5</v>
      </c>
      <c t="s" s="7" r="F447">
        <v>5</v>
      </c>
      <c t="s" s="7" r="G447">
        <v>69</v>
      </c>
      <c t="str" s="65" r="H447">
        <f>HYPERLINK("http://sofifa.com/en/fifa13winter/player/147203-wayne-rooney","W. Rooney")</f>
        <v>W. Rooney</v>
      </c>
      <c s="7" r="I447">
        <v>87</v>
      </c>
      <c t="s" s="7" r="J447">
        <v>171</v>
      </c>
      <c t="s" s="7" r="K447">
        <v>172</v>
      </c>
      <c t="s" s="7" r="L447">
        <v>108</v>
      </c>
      <c s="7" r="M447">
        <v>26</v>
      </c>
      <c s="26" r="N447">
        <v>40.3</v>
      </c>
      <c s="23" r="O447">
        <v>0.17</v>
      </c>
      <c s="7" r="P447"/>
      <c s="7" r="Q447"/>
      <c s="7" r="R447">
        <f>IF((P447&gt;0),O447,0)</f>
        <v>0</v>
      </c>
      <c t="str" r="S447">
        <f>CONCATENATE(F447,E447)</f>
        <v>FIFA TrustFIFA Trust</v>
      </c>
    </row>
    <row r="448">
      <c t="s" s="7" r="A448">
        <v>201</v>
      </c>
      <c s="7" r="B448">
        <v>20</v>
      </c>
      <c s="7" r="C448">
        <v>17</v>
      </c>
      <c t="s" s="7" r="D448">
        <v>136</v>
      </c>
      <c t="s" s="7" r="E448">
        <v>5</v>
      </c>
      <c t="s" s="7" r="F448">
        <v>5</v>
      </c>
      <c t="s" s="7" r="G448">
        <v>69</v>
      </c>
      <c t="str" s="65" r="H448">
        <f>HYPERLINK("http://sofifa.com/en/fifa13winter/player/147592-luis-carlos-almeida-da-cunha","Nani")</f>
        <v>Nani</v>
      </c>
      <c s="7" r="I448">
        <v>84</v>
      </c>
      <c t="s" s="7" r="J448">
        <v>120</v>
      </c>
      <c t="s" s="7" r="K448">
        <v>139</v>
      </c>
      <c t="s" s="7" r="L448">
        <v>149</v>
      </c>
      <c s="7" r="M448">
        <v>25</v>
      </c>
      <c s="26" r="N448">
        <v>20</v>
      </c>
      <c s="23" r="O448">
        <v>0.083</v>
      </c>
      <c s="7" r="P448"/>
      <c s="7" r="Q448"/>
      <c s="7" r="R448">
        <f>IF((P448&gt;0),O448,0)</f>
        <v>0</v>
      </c>
      <c t="str" r="S448">
        <f>CONCATENATE(F448,E448)</f>
        <v>FIFA TrustFIFA Trust</v>
      </c>
    </row>
    <row r="449">
      <c t="s" s="7" r="A449">
        <v>201</v>
      </c>
      <c s="7" r="B449">
        <v>21</v>
      </c>
      <c s="7" r="C449">
        <v>18</v>
      </c>
      <c t="s" s="7" r="D449">
        <v>136</v>
      </c>
      <c t="s" s="7" r="E449">
        <v>5</v>
      </c>
      <c t="s" s="7" r="F449">
        <v>5</v>
      </c>
      <c t="s" s="7" r="G449">
        <v>69</v>
      </c>
      <c t="str" s="65" r="H449">
        <f>HYPERLINK("http://sofifa.com/en/fifa13winter/player/147096-ashley-young","A. Young")</f>
        <v>A. Young</v>
      </c>
      <c s="7" r="I449">
        <v>82</v>
      </c>
      <c t="s" s="7" r="J449">
        <v>128</v>
      </c>
      <c t="s" s="7" r="K449">
        <v>139</v>
      </c>
      <c t="s" s="7" r="L449">
        <v>140</v>
      </c>
      <c s="7" r="M449">
        <v>27</v>
      </c>
      <c s="26" r="N449">
        <v>14.3</v>
      </c>
      <c s="23" r="O449">
        <v>0.053</v>
      </c>
      <c s="7" r="P449"/>
      <c s="7" r="Q449"/>
      <c s="7" r="R449">
        <f>IF((P449&gt;0),O449,0)</f>
        <v>0</v>
      </c>
      <c t="str" r="S449">
        <f>CONCATENATE(F449,E449)</f>
        <v>FIFA TrustFIFA Trust</v>
      </c>
    </row>
    <row r="450">
      <c t="s" s="7" r="A450">
        <v>201</v>
      </c>
      <c s="7" r="B450">
        <v>34</v>
      </c>
      <c s="7" r="C450">
        <v>1</v>
      </c>
      <c t="s" s="7" r="D450">
        <v>106</v>
      </c>
      <c t="s" s="7" r="E450">
        <v>5</v>
      </c>
      <c t="s" s="7" r="F450">
        <v>5</v>
      </c>
      <c t="s" s="7" r="G450">
        <v>74</v>
      </c>
      <c t="str" s="65" r="H450">
        <f>HYPERLINK("http://sofifa.com/en/fifa13winter/player/145950-petr-cech","P. Čech")</f>
        <v>P. Čech</v>
      </c>
      <c s="7" r="I450">
        <v>84</v>
      </c>
      <c t="s" s="7" r="J450">
        <v>106</v>
      </c>
      <c t="s" s="7" r="K450">
        <v>198</v>
      </c>
      <c t="s" s="7" r="L450">
        <v>185</v>
      </c>
      <c s="7" r="M450">
        <v>30</v>
      </c>
      <c s="26" r="N450">
        <v>12.2</v>
      </c>
      <c s="23" r="O450">
        <v>0.093</v>
      </c>
      <c s="7" r="P450"/>
      <c s="7" r="Q450"/>
      <c s="7" r="R450">
        <f>IF((P450&gt;0),O450,0)</f>
        <v>0</v>
      </c>
      <c t="str" r="S450">
        <f>CONCATENATE(F450,E450)</f>
        <v>FIFA TrustFIFA Trust</v>
      </c>
    </row>
    <row r="451">
      <c t="s" s="7" r="A451">
        <v>201</v>
      </c>
      <c s="7" r="B451">
        <v>35</v>
      </c>
      <c s="7" r="C451">
        <v>2</v>
      </c>
      <c t="s" s="7" r="D451">
        <v>109</v>
      </c>
      <c t="s" s="7" r="E451">
        <v>5</v>
      </c>
      <c t="s" s="7" r="F451">
        <v>5</v>
      </c>
      <c t="s" s="7" r="G451">
        <v>74</v>
      </c>
      <c t="str" s="65" r="H451">
        <f>HYPERLINK("http://sofifa.com/en/fifa13winter/player/146593-branislav-ivanovic","B. Ivanović")</f>
        <v>B. Ivanović</v>
      </c>
      <c s="7" r="I451">
        <v>83</v>
      </c>
      <c t="s" s="7" r="J451">
        <v>113</v>
      </c>
      <c t="s" s="7" r="K451">
        <v>134</v>
      </c>
      <c t="s" s="7" r="L451">
        <v>180</v>
      </c>
      <c s="7" r="M451">
        <v>28</v>
      </c>
      <c s="26" r="N451">
        <v>14.4</v>
      </c>
      <c s="23" r="O451">
        <v>0.071</v>
      </c>
      <c s="7" r="P451"/>
      <c s="7" r="Q451"/>
      <c s="7" r="R451">
        <f>IF((P451&gt;0),O451,0)</f>
        <v>0</v>
      </c>
      <c t="str" r="S451">
        <f>CONCATENATE(F451,E451)</f>
        <v>FIFA TrustFIFA Trust</v>
      </c>
    </row>
    <row r="452">
      <c t="s" s="7" r="A452">
        <v>201</v>
      </c>
      <c s="7" r="B452">
        <v>38</v>
      </c>
      <c s="7" r="C452">
        <v>3</v>
      </c>
      <c t="s" s="7" r="D452">
        <v>117</v>
      </c>
      <c t="s" s="7" r="E452">
        <v>5</v>
      </c>
      <c t="s" s="7" r="F452">
        <v>5</v>
      </c>
      <c t="s" s="7" r="G452">
        <v>74</v>
      </c>
      <c t="str" s="65" r="H452">
        <f>HYPERLINK("http://sofifa.com/en/fifa13winter/player/145434-ashley-cole","A. Cole")</f>
        <v>A. Cole</v>
      </c>
      <c s="7" r="I452">
        <v>84</v>
      </c>
      <c t="s" s="7" r="J452">
        <v>117</v>
      </c>
      <c t="s" s="7" r="K452">
        <v>172</v>
      </c>
      <c t="s" s="7" r="L452">
        <v>163</v>
      </c>
      <c s="7" r="M452">
        <v>31</v>
      </c>
      <c s="26" r="N452">
        <v>13.7</v>
      </c>
      <c s="23" r="O452">
        <v>0.097</v>
      </c>
      <c s="7" r="P452"/>
      <c s="7" r="Q452"/>
      <c s="7" r="R452">
        <f>IF((P452&gt;0),O452,0)</f>
        <v>0</v>
      </c>
      <c t="str" r="S452">
        <f>CONCATENATE(F452,E452)</f>
        <v>FIFA TrustFIFA Trust</v>
      </c>
    </row>
    <row r="453">
      <c t="s" s="7" r="A453">
        <v>201</v>
      </c>
      <c s="7" r="B453">
        <v>39</v>
      </c>
      <c s="7" r="C453">
        <v>7</v>
      </c>
      <c t="s" s="7" r="D453">
        <v>186</v>
      </c>
      <c t="s" s="7" r="E453">
        <v>5</v>
      </c>
      <c t="s" s="7" r="F453">
        <v>5</v>
      </c>
      <c t="s" s="7" r="G453">
        <v>74</v>
      </c>
      <c t="str" s="65" r="H453">
        <f>HYPERLINK("http://sofifa.com/en/fifa13winter/player/147719-ramires-santos-do-nascimen","Ramires")</f>
        <v>Ramires</v>
      </c>
      <c s="7" r="I453">
        <v>81</v>
      </c>
      <c t="s" s="7" r="J453">
        <v>124</v>
      </c>
      <c t="s" s="7" r="K453">
        <v>114</v>
      </c>
      <c t="s" s="7" r="L453">
        <v>119</v>
      </c>
      <c s="7" r="M453">
        <v>25</v>
      </c>
      <c s="26" r="N453">
        <v>12.2</v>
      </c>
      <c s="23" r="O453">
        <v>0.04</v>
      </c>
      <c s="7" r="P453"/>
      <c s="7" r="Q453"/>
      <c s="7" r="R453">
        <f>IF((P453&gt;0),O453,0)</f>
        <v>0</v>
      </c>
      <c t="str" r="S453">
        <f>CONCATENATE(F453,E453)</f>
        <v>FIFA TrustFIFA Trust</v>
      </c>
    </row>
    <row r="454">
      <c t="s" s="7" r="A454">
        <v>201</v>
      </c>
      <c s="7" r="B454">
        <v>41</v>
      </c>
      <c s="7" r="C454">
        <v>11</v>
      </c>
      <c t="s" s="7" r="D454">
        <v>120</v>
      </c>
      <c t="s" s="7" r="E454">
        <v>5</v>
      </c>
      <c t="s" s="7" r="F454">
        <v>5</v>
      </c>
      <c t="s" s="7" r="G454">
        <v>74</v>
      </c>
      <c t="str" s="65" r="H454">
        <f>HYPERLINK("http://sofifa.com/en/fifa13winter/player/149349-oscar-dos-santos-emboaba","Oscar")</f>
        <v>Oscar</v>
      </c>
      <c s="7" r="I454">
        <v>82</v>
      </c>
      <c t="s" s="7" r="J454">
        <v>162</v>
      </c>
      <c t="s" s="7" r="K454">
        <v>145</v>
      </c>
      <c t="s" s="7" r="L454">
        <v>125</v>
      </c>
      <c s="7" r="M454">
        <v>20</v>
      </c>
      <c s="26" r="N454">
        <v>17.3</v>
      </c>
      <c s="23" r="O454">
        <v>0.045</v>
      </c>
      <c s="7" r="P454"/>
      <c s="7" r="Q454"/>
      <c s="7" r="R454">
        <f>IF((P454&gt;0),O454,0)</f>
        <v>0</v>
      </c>
      <c t="str" r="S454">
        <f>CONCATENATE(F454,E454)</f>
        <v>FIFA TrustFIFA Trust</v>
      </c>
    </row>
    <row r="455">
      <c t="s" s="7" r="A455">
        <v>201</v>
      </c>
      <c s="7" r="B455">
        <v>42</v>
      </c>
      <c s="7" r="C455">
        <v>17</v>
      </c>
      <c t="s" s="7" r="D455">
        <v>128</v>
      </c>
      <c t="s" s="7" r="E455">
        <v>5</v>
      </c>
      <c t="s" s="7" r="F455">
        <v>5</v>
      </c>
      <c t="s" s="7" r="G455">
        <v>74</v>
      </c>
      <c t="str" s="65" r="H455">
        <f>HYPERLINK("http://sofifa.com/en/fifa13winter/player/149104-eden-hazard","E. Hazard")</f>
        <v>E. Hazard</v>
      </c>
      <c s="7" r="I455">
        <v>85</v>
      </c>
      <c t="s" s="7" r="J455">
        <v>128</v>
      </c>
      <c t="s" s="7" r="K455">
        <v>187</v>
      </c>
      <c t="s" s="7" r="L455">
        <v>146</v>
      </c>
      <c s="7" r="M455">
        <v>21</v>
      </c>
      <c s="26" r="N455">
        <v>24.2</v>
      </c>
      <c s="23" r="O455">
        <v>0.088</v>
      </c>
      <c s="7" r="P455"/>
      <c s="7" r="Q455"/>
      <c s="7" r="R455">
        <f>IF((P455&gt;0),O455,0)</f>
        <v>0</v>
      </c>
      <c t="str" r="S455">
        <f>CONCATENATE(F455,E455)</f>
        <v>FIFA TrustFIFA Trust</v>
      </c>
    </row>
    <row r="456">
      <c t="s" s="7" r="A456">
        <v>201</v>
      </c>
      <c s="7" r="B456">
        <v>43</v>
      </c>
      <c s="7" r="C456">
        <v>10</v>
      </c>
      <c t="s" s="7" r="D456">
        <v>162</v>
      </c>
      <c t="s" s="7" r="E456">
        <v>5</v>
      </c>
      <c t="s" s="7" r="F456">
        <v>5</v>
      </c>
      <c t="s" s="7" r="G456">
        <v>74</v>
      </c>
      <c t="str" s="65" r="H456">
        <f>HYPERLINK("http://sofifa.com/en/fifa13winter/player/148120-juan-manuel-mata-garcia","Juan Mata")</f>
        <v>Juan Mata</v>
      </c>
      <c s="7" r="I456">
        <v>86</v>
      </c>
      <c t="s" s="7" r="J456">
        <v>162</v>
      </c>
      <c t="s" s="7" r="K456">
        <v>121</v>
      </c>
      <c t="s" s="7" r="L456">
        <v>168</v>
      </c>
      <c s="7" r="M456">
        <v>24</v>
      </c>
      <c s="26" r="N456">
        <v>32.7</v>
      </c>
      <c s="23" r="O456">
        <v>0.135</v>
      </c>
      <c s="7" r="P456"/>
      <c s="7" r="Q456"/>
      <c s="7" r="R456">
        <f>IF((P456&gt;0),O456,0)</f>
        <v>0</v>
      </c>
      <c t="str" r="S456">
        <f>CONCATENATE(F456,E456)</f>
        <v>FIFA TrustFIFA Trust</v>
      </c>
    </row>
    <row r="457">
      <c t="s" s="7" r="A457">
        <v>201</v>
      </c>
      <c s="7" r="B457">
        <v>44</v>
      </c>
      <c s="7" r="C457">
        <v>29</v>
      </c>
      <c t="s" s="7" r="D457">
        <v>129</v>
      </c>
      <c t="s" s="7" r="E457">
        <v>5</v>
      </c>
      <c t="s" s="7" r="F457">
        <v>5</v>
      </c>
      <c t="s" s="7" r="G457">
        <v>74</v>
      </c>
      <c t="str" s="65" r="H457">
        <f>HYPERLINK("http://sofifa.com/en/fifa13winter/player/147051-demba-ba","D. Ba")</f>
        <v>D. Ba</v>
      </c>
      <c s="7" r="I457">
        <v>82</v>
      </c>
      <c t="s" s="7" r="J457">
        <v>129</v>
      </c>
      <c t="s" s="7" r="K457">
        <v>169</v>
      </c>
      <c t="s" s="7" r="L457">
        <v>156</v>
      </c>
      <c s="7" r="M457">
        <v>27</v>
      </c>
      <c s="26" r="N457">
        <v>16.7</v>
      </c>
      <c s="23" r="O457">
        <v>0.053</v>
      </c>
      <c s="7" r="P457"/>
      <c s="7" r="Q457"/>
      <c s="7" r="R457">
        <f>IF((P457&gt;0),O457,0)</f>
        <v>0</v>
      </c>
      <c t="str" r="S457">
        <f>CONCATENATE(F457,E457)</f>
        <v>FIFA TrustFIFA Trust</v>
      </c>
    </row>
    <row r="458">
      <c t="s" s="7" r="A458">
        <v>201</v>
      </c>
      <c s="7" r="B458">
        <v>56</v>
      </c>
      <c s="7" r="C458">
        <v>9</v>
      </c>
      <c t="s" s="7" r="D458">
        <v>136</v>
      </c>
      <c t="s" s="7" r="E458">
        <v>5</v>
      </c>
      <c t="s" s="7" r="F458">
        <v>5</v>
      </c>
      <c t="s" s="7" r="G458">
        <v>74</v>
      </c>
      <c t="str" s="65" r="H458">
        <f>HYPERLINK("http://sofifa.com/en/fifa13winter/player/146620-fernando-jose-torres-sanz","Fernando Torres")</f>
        <v>Fernando Torres</v>
      </c>
      <c s="7" r="I458">
        <v>82</v>
      </c>
      <c t="s" s="7" r="J458">
        <v>129</v>
      </c>
      <c t="s" s="7" r="K458">
        <v>110</v>
      </c>
      <c t="s" s="7" r="L458">
        <v>161</v>
      </c>
      <c s="7" r="M458">
        <v>28</v>
      </c>
      <c s="26" r="N458">
        <v>15.3</v>
      </c>
      <c s="23" r="O458">
        <v>0.055</v>
      </c>
      <c s="7" r="P458"/>
      <c s="7" r="Q458"/>
      <c s="7" r="R458">
        <f>IF((P458&gt;0),O458,0)</f>
        <v>0</v>
      </c>
      <c t="str" r="S458">
        <f>CONCATENATE(F458,E458)</f>
        <v>FIFA TrustFIFA Trust</v>
      </c>
    </row>
    <row r="459">
      <c t="s" s="7" r="A459">
        <v>201</v>
      </c>
      <c s="7" r="B459">
        <v>72</v>
      </c>
      <c s="7" r="C459">
        <v>8</v>
      </c>
      <c t="s" s="7" r="D459">
        <v>186</v>
      </c>
      <c t="s" s="7" r="E459">
        <v>5</v>
      </c>
      <c t="s" s="7" r="F459">
        <v>5</v>
      </c>
      <c t="s" s="7" r="G459">
        <v>49</v>
      </c>
      <c t="str" s="65" r="H459">
        <f>HYPERLINK("http://sofifa.com/en/fifa13winter/player/145895-mikel-arteta-amatriain","Mikel Arteta")</f>
        <v>Mikel Arteta</v>
      </c>
      <c s="7" r="I459">
        <v>82</v>
      </c>
      <c t="s" s="7" r="J459">
        <v>124</v>
      </c>
      <c t="s" s="7" r="K459">
        <v>139</v>
      </c>
      <c t="s" s="7" r="L459">
        <v>141</v>
      </c>
      <c s="7" r="M459">
        <v>30</v>
      </c>
      <c s="26" r="N459">
        <v>11.3</v>
      </c>
      <c s="23" r="O459">
        <v>0.059</v>
      </c>
      <c s="7" r="P459"/>
      <c s="7" r="Q459"/>
      <c s="7" r="R459">
        <f>IF((P459&gt;0),O459,0)</f>
        <v>0</v>
      </c>
      <c t="str" r="S459">
        <f>CONCATENATE(F459,E459)</f>
        <v>FIFA TrustFIFA Trust</v>
      </c>
    </row>
    <row r="460">
      <c t="s" s="7" r="A460">
        <v>201</v>
      </c>
      <c s="7" r="B460">
        <v>74</v>
      </c>
      <c s="7" r="C460">
        <v>14</v>
      </c>
      <c t="s" s="7" r="D460">
        <v>120</v>
      </c>
      <c t="s" s="7" r="E460">
        <v>5</v>
      </c>
      <c t="s" s="7" r="F460">
        <v>5</v>
      </c>
      <c t="s" s="7" r="G460">
        <v>49</v>
      </c>
      <c t="str" s="65" r="H460">
        <f>HYPERLINK("http://sofifa.com/en/fifa13winter/player/148442-theo-walcott","T. Walcott")</f>
        <v>T. Walcott</v>
      </c>
      <c s="7" r="I460">
        <v>81</v>
      </c>
      <c t="s" s="7" r="J460">
        <v>157</v>
      </c>
      <c t="s" s="7" r="K460">
        <v>139</v>
      </c>
      <c t="s" s="7" r="L460">
        <v>163</v>
      </c>
      <c s="7" r="M460">
        <v>23</v>
      </c>
      <c s="26" r="N460">
        <v>14.3</v>
      </c>
      <c s="23" r="O460">
        <v>0.038</v>
      </c>
      <c s="7" r="P460"/>
      <c s="7" r="Q460"/>
      <c s="7" r="R460">
        <f>IF((P460&gt;0),O460,0)</f>
        <v>0</v>
      </c>
      <c t="str" r="S460">
        <f>CONCATENATE(F460,E460)</f>
        <v>FIFA TrustFIFA Trust</v>
      </c>
    </row>
    <row r="461">
      <c t="s" s="7" r="A461">
        <v>201</v>
      </c>
      <c s="7" r="B461">
        <v>75</v>
      </c>
      <c s="7" r="C461">
        <v>19</v>
      </c>
      <c t="s" s="7" r="D461">
        <v>128</v>
      </c>
      <c t="s" s="7" r="E461">
        <v>5</v>
      </c>
      <c t="s" s="7" r="F461">
        <v>5</v>
      </c>
      <c t="s" s="7" r="G461">
        <v>49</v>
      </c>
      <c t="str" s="65" r="H461">
        <f>HYPERLINK("http://sofifa.com/en/fifa13winter/player/146888-santiago-cazorla-gonzalez","Santi Cazorla")</f>
        <v>Santi Cazorla</v>
      </c>
      <c s="7" r="I461">
        <v>85</v>
      </c>
      <c t="s" s="7" r="J461">
        <v>162</v>
      </c>
      <c t="s" s="7" r="K461">
        <v>148</v>
      </c>
      <c t="s" s="7" r="L461">
        <v>125</v>
      </c>
      <c s="7" r="M461">
        <v>27</v>
      </c>
      <c s="26" r="N461">
        <v>24.9</v>
      </c>
      <c s="23" r="O461">
        <v>0.1</v>
      </c>
      <c s="7" r="P461"/>
      <c s="7" r="Q461"/>
      <c s="7" r="R461">
        <f>IF((P461&gt;0),O461,0)</f>
        <v>0</v>
      </c>
      <c t="str" r="S461">
        <f>CONCATENATE(F461,E461)</f>
        <v>FIFA TrustFIFA Trust</v>
      </c>
    </row>
    <row r="462">
      <c t="s" s="7" r="A462">
        <v>201</v>
      </c>
      <c s="7" r="B462">
        <v>77</v>
      </c>
      <c s="7" r="C462">
        <v>12</v>
      </c>
      <c t="s" s="7" r="D462">
        <v>129</v>
      </c>
      <c t="s" s="7" r="E462">
        <v>5</v>
      </c>
      <c t="s" s="7" r="F462">
        <v>5</v>
      </c>
      <c t="s" s="7" r="G462">
        <v>49</v>
      </c>
      <c t="str" s="65" r="H462">
        <f>HYPERLINK("http://sofifa.com/en/fifa13winter/player/147544-olivier-giroud","O. Giroud")</f>
        <v>O. Giroud</v>
      </c>
      <c s="7" r="I462">
        <v>80</v>
      </c>
      <c t="s" s="7" r="J462">
        <v>129</v>
      </c>
      <c t="s" s="7" r="K462">
        <v>165</v>
      </c>
      <c t="s" s="7" r="L462">
        <v>175</v>
      </c>
      <c s="7" r="M462">
        <v>25</v>
      </c>
      <c s="26" r="N462">
        <v>11.6</v>
      </c>
      <c s="23" r="O462">
        <v>0.03</v>
      </c>
      <c s="7" r="P462"/>
      <c s="7" r="Q462"/>
      <c s="7" r="R462">
        <f>IF((P462&gt;0),O462,0)</f>
        <v>0</v>
      </c>
      <c t="str" r="S462">
        <f>CONCATENATE(F462,E462)</f>
        <v>FIFA TrustFIFA Trust</v>
      </c>
    </row>
    <row r="463">
      <c t="s" s="7" r="A463">
        <v>201</v>
      </c>
      <c s="7" r="B463">
        <v>82</v>
      </c>
      <c s="7" r="C463">
        <v>10</v>
      </c>
      <c t="s" s="7" r="D463">
        <v>136</v>
      </c>
      <c t="s" s="7" r="E463">
        <v>5</v>
      </c>
      <c t="s" s="7" r="F463">
        <v>5</v>
      </c>
      <c t="s" s="7" r="G463">
        <v>49</v>
      </c>
      <c t="str" s="65" r="H463">
        <f>HYPERLINK("http://sofifa.com/en/fifa13winter/player/149463-jack-wilshere","J. Wilshere")</f>
        <v>J. Wilshere</v>
      </c>
      <c s="7" r="I463">
        <v>82</v>
      </c>
      <c t="s" s="7" r="J463">
        <v>124</v>
      </c>
      <c t="s" s="7" r="K463">
        <v>130</v>
      </c>
      <c t="s" s="7" r="L463">
        <v>149</v>
      </c>
      <c s="7" r="M463">
        <v>20</v>
      </c>
      <c s="26" r="N463">
        <v>15.8</v>
      </c>
      <c s="23" r="O463">
        <v>0.045</v>
      </c>
      <c s="7" r="P463"/>
      <c s="7" r="Q463"/>
      <c s="7" r="R463">
        <f>IF((P463&gt;0),O463,0)</f>
        <v>0</v>
      </c>
      <c t="str" r="S463">
        <f>CONCATENATE(F463,E463)</f>
        <v>FIFA TrustFIFA Trust</v>
      </c>
    </row>
    <row r="464">
      <c t="s" s="7" r="A464">
        <v>201</v>
      </c>
      <c s="7" r="B464">
        <v>84</v>
      </c>
      <c s="7" r="C464">
        <v>9</v>
      </c>
      <c t="s" s="7" r="D464">
        <v>136</v>
      </c>
      <c t="s" s="7" r="E464">
        <v>5</v>
      </c>
      <c t="s" s="7" r="F464">
        <v>5</v>
      </c>
      <c t="s" s="7" r="G464">
        <v>49</v>
      </c>
      <c t="str" s="65" r="H464">
        <f>HYPERLINK("http://sofifa.com/en/fifa13winter/player/147061-lukas-podolski","L. Podolski")</f>
        <v>L. Podolski</v>
      </c>
      <c s="7" r="I464">
        <v>81</v>
      </c>
      <c t="s" s="7" r="J464">
        <v>170</v>
      </c>
      <c t="s" s="7" r="K464">
        <v>143</v>
      </c>
      <c t="s" s="7" r="L464">
        <v>108</v>
      </c>
      <c s="7" r="M464">
        <v>27</v>
      </c>
      <c s="26" r="N464">
        <v>13.7</v>
      </c>
      <c s="23" r="O464">
        <v>0.04</v>
      </c>
      <c s="7" r="P464"/>
      <c s="7" r="Q464"/>
      <c s="7" r="R464">
        <f>IF((P464&gt;0),O464,0)</f>
        <v>0</v>
      </c>
      <c t="str" r="S464">
        <f>CONCATENATE(F464,E464)</f>
        <v>FIFA TrustFIFA Trust</v>
      </c>
    </row>
    <row r="465">
      <c t="s" s="7" r="A465">
        <v>201</v>
      </c>
      <c s="7" r="B465">
        <v>85</v>
      </c>
      <c s="7" r="C465">
        <v>27</v>
      </c>
      <c t="s" s="7" r="D465">
        <v>136</v>
      </c>
      <c t="s" s="7" r="E465">
        <v>5</v>
      </c>
      <c t="s" s="7" r="F465">
        <v>5</v>
      </c>
      <c t="s" s="7" r="G465">
        <v>49</v>
      </c>
      <c t="str" s="65" r="H465">
        <f>HYPERLINK("http://sofifa.com/en/fifa13winter/player/147783-gervais-yao-kouassi","Gervinho")</f>
        <v>Gervinho</v>
      </c>
      <c s="7" r="I465">
        <v>80</v>
      </c>
      <c t="s" s="7" r="J465">
        <v>170</v>
      </c>
      <c t="s" s="7" r="K465">
        <v>145</v>
      </c>
      <c t="s" s="7" r="L465">
        <v>115</v>
      </c>
      <c s="7" r="M465">
        <v>25</v>
      </c>
      <c s="26" r="N465">
        <v>11</v>
      </c>
      <c s="23" r="O465">
        <v>0.03</v>
      </c>
      <c s="7" r="P465"/>
      <c s="7" r="Q465"/>
      <c s="7" r="R465">
        <f>IF((P465&gt;0),O465,0)</f>
        <v>0</v>
      </c>
      <c t="str" r="S465">
        <f>CONCATENATE(F465,E465)</f>
        <v>FIFA TrustFIFA Trust</v>
      </c>
    </row>
    <row r="466">
      <c t="s" s="7" r="A466">
        <v>201</v>
      </c>
      <c s="7" r="B466">
        <v>86</v>
      </c>
      <c s="7" r="C466">
        <v>5</v>
      </c>
      <c t="s" s="7" r="D466">
        <v>136</v>
      </c>
      <c t="s" s="7" r="E466">
        <v>5</v>
      </c>
      <c t="s" s="7" r="F466">
        <v>5</v>
      </c>
      <c t="s" s="7" r="G466">
        <v>49</v>
      </c>
      <c t="str" s="65" r="H466">
        <f>HYPERLINK("http://sofifa.com/en/fifa13winter/player/147224-thomas-vermaelen","T. Vermaelen")</f>
        <v>T. Vermaelen</v>
      </c>
      <c s="7" r="I466">
        <v>81</v>
      </c>
      <c t="s" s="7" r="J466">
        <v>113</v>
      </c>
      <c t="s" s="7" r="K466">
        <v>110</v>
      </c>
      <c t="s" s="7" r="L466">
        <v>193</v>
      </c>
      <c s="7" r="M466">
        <v>26</v>
      </c>
      <c s="26" r="N466">
        <v>11.3</v>
      </c>
      <c s="23" r="O466">
        <v>0.04</v>
      </c>
      <c s="7" r="P466"/>
      <c s="7" r="Q466"/>
      <c s="7" r="R466">
        <f>IF((P466&gt;0),O466,0)</f>
        <v>0</v>
      </c>
      <c t="str" r="S466">
        <f>CONCATENATE(F466,E466)</f>
        <v>FIFA TrustFIFA Trust</v>
      </c>
    </row>
    <row r="467">
      <c t="s" s="7" r="A467">
        <v>201</v>
      </c>
      <c s="7" r="B467">
        <v>100</v>
      </c>
      <c s="7" r="C467">
        <v>25</v>
      </c>
      <c t="s" s="7" r="D467">
        <v>106</v>
      </c>
      <c t="s" s="7" r="E467">
        <v>5</v>
      </c>
      <c t="s" s="7" r="F467">
        <v>5</v>
      </c>
      <c t="s" s="7" r="G467">
        <v>89</v>
      </c>
      <c t="str" s="65" r="H467">
        <f>HYPERLINK("http://sofifa.com/en/fifa13winter/player/146053-jose-manuel-reina-paez","José Reina")</f>
        <v>José Reina</v>
      </c>
      <c s="7" r="I467">
        <v>83</v>
      </c>
      <c t="s" s="7" r="J467">
        <v>106</v>
      </c>
      <c t="s" s="7" r="K467">
        <v>134</v>
      </c>
      <c t="s" s="7" r="L467">
        <v>135</v>
      </c>
      <c s="7" r="M467">
        <v>30</v>
      </c>
      <c s="26" r="N467">
        <v>10.9</v>
      </c>
      <c s="23" r="O467">
        <v>0.076</v>
      </c>
      <c s="7" r="P467"/>
      <c s="7" r="Q467"/>
      <c s="7" r="R467">
        <f>IF((P467&gt;0),O467,0)</f>
        <v>0</v>
      </c>
      <c t="str" r="S467">
        <f>CONCATENATE(F467,E467)</f>
        <v>FIFA TrustFIFA Trust</v>
      </c>
    </row>
    <row r="468">
      <c t="s" s="7" r="A468">
        <v>201</v>
      </c>
      <c s="7" r="B468">
        <v>101</v>
      </c>
      <c s="7" r="C468">
        <v>2</v>
      </c>
      <c t="s" s="7" r="D468">
        <v>109</v>
      </c>
      <c t="s" s="7" r="E468">
        <v>5</v>
      </c>
      <c t="s" s="7" r="F468">
        <v>5</v>
      </c>
      <c t="s" s="7" r="G468">
        <v>89</v>
      </c>
      <c t="str" s="65" r="H468">
        <f>HYPERLINK("http://sofifa.com/en/fifa13winter/player/146776-glen-johnson","G. Johnson")</f>
        <v>G. Johnson</v>
      </c>
      <c s="7" r="I468">
        <v>79</v>
      </c>
      <c t="s" s="7" r="J468">
        <v>109</v>
      </c>
      <c t="s" s="7" r="K468">
        <v>143</v>
      </c>
      <c t="s" s="7" r="L468">
        <v>122</v>
      </c>
      <c s="7" r="M468">
        <v>28</v>
      </c>
      <c s="26" r="N468">
        <v>6.4</v>
      </c>
      <c s="23" r="O468">
        <v>0.023</v>
      </c>
      <c s="7" r="P468"/>
      <c s="7" r="Q468"/>
      <c s="7" r="R468">
        <f>IF((P468&gt;0),O468,0)</f>
        <v>0</v>
      </c>
      <c t="str" r="S468">
        <f>CONCATENATE(F468,E468)</f>
        <v>FIFA TrustFIFA Trust</v>
      </c>
    </row>
    <row r="469">
      <c t="s" s="7" r="A469">
        <v>201</v>
      </c>
      <c s="7" r="B469">
        <v>102</v>
      </c>
      <c s="7" r="C469">
        <v>37</v>
      </c>
      <c t="s" s="7" r="D469">
        <v>112</v>
      </c>
      <c t="s" s="7" r="E469">
        <v>5</v>
      </c>
      <c t="s" s="7" r="F469">
        <v>5</v>
      </c>
      <c t="s" s="7" r="G469">
        <v>89</v>
      </c>
      <c t="str" s="65" r="H469">
        <f>HYPERLINK("http://sofifa.com/en/fifa13winter/player/146890-martin-skrtel","M. Škrtel")</f>
        <v>M. Škrtel</v>
      </c>
      <c s="7" r="I469">
        <v>82</v>
      </c>
      <c t="s" s="7" r="J469">
        <v>113</v>
      </c>
      <c t="s" s="7" r="K469">
        <v>144</v>
      </c>
      <c t="s" s="7" r="L469">
        <v>183</v>
      </c>
      <c s="7" r="M469">
        <v>27</v>
      </c>
      <c s="26" r="N469">
        <v>13</v>
      </c>
      <c s="23" r="O469">
        <v>0.053</v>
      </c>
      <c s="7" r="P469"/>
      <c s="7" r="Q469"/>
      <c s="7" r="R469">
        <f>IF((P469&gt;0),O469,0)</f>
        <v>0</v>
      </c>
      <c t="str" r="S469">
        <f>CONCATENATE(F469,E469)</f>
        <v>FIFA TrustFIFA Trust</v>
      </c>
    </row>
    <row r="470">
      <c t="s" s="7" r="A470">
        <v>201</v>
      </c>
      <c s="7" r="B470">
        <v>103</v>
      </c>
      <c s="7" r="C470">
        <v>5</v>
      </c>
      <c t="s" s="7" r="D470">
        <v>116</v>
      </c>
      <c t="s" s="7" r="E470">
        <v>5</v>
      </c>
      <c t="s" s="7" r="F470">
        <v>5</v>
      </c>
      <c t="s" s="7" r="G470">
        <v>89</v>
      </c>
      <c t="str" s="65" r="H470">
        <f>HYPERLINK("http://sofifa.com/en/fifa13winter/player/146887-daniel-agger","D. Agger")</f>
        <v>D. Agger</v>
      </c>
      <c s="7" r="I470">
        <v>83</v>
      </c>
      <c t="s" s="7" r="J470">
        <v>113</v>
      </c>
      <c t="s" s="7" r="K470">
        <v>144</v>
      </c>
      <c t="s" s="7" r="L470">
        <v>158</v>
      </c>
      <c s="7" r="M470">
        <v>27</v>
      </c>
      <c s="26" r="N470">
        <v>15.6</v>
      </c>
      <c s="23" r="O470">
        <v>0.068</v>
      </c>
      <c s="7" r="P470"/>
      <c s="7" r="Q470"/>
      <c s="7" r="R470">
        <f>IF((P470&gt;0),O470,0)</f>
        <v>0</v>
      </c>
      <c t="str" r="S470">
        <f>CONCATENATE(F470,E470)</f>
        <v>FIFA TrustFIFA Trust</v>
      </c>
    </row>
    <row r="471">
      <c t="s" s="7" r="A471">
        <v>201</v>
      </c>
      <c s="7" r="B471">
        <v>104</v>
      </c>
      <c s="7" r="C471">
        <v>3</v>
      </c>
      <c t="s" s="7" r="D471">
        <v>117</v>
      </c>
      <c t="s" s="7" r="E471">
        <v>5</v>
      </c>
      <c t="s" s="7" r="F471">
        <v>5</v>
      </c>
      <c t="s" s="7" r="G471">
        <v>89</v>
      </c>
      <c t="str" s="65" r="H471">
        <f>HYPERLINK("http://sofifa.com/en/fifa13winter/player/147294-jose-enrique-sanchez-diaz","José Enrique")</f>
        <v>José Enrique</v>
      </c>
      <c s="7" r="I471">
        <v>79</v>
      </c>
      <c t="s" s="7" r="J471">
        <v>117</v>
      </c>
      <c t="s" s="7" r="K471">
        <v>167</v>
      </c>
      <c t="s" s="7" r="L471">
        <v>137</v>
      </c>
      <c s="7" r="M471">
        <v>26</v>
      </c>
      <c s="26" r="N471">
        <v>6.7</v>
      </c>
      <c s="23" r="O471">
        <v>0.022</v>
      </c>
      <c s="7" r="P471"/>
      <c s="7" r="Q471"/>
      <c s="7" r="R471">
        <f>IF((P471&gt;0),O471,0)</f>
        <v>0</v>
      </c>
      <c t="str" r="S471">
        <f>CONCATENATE(F471,E471)</f>
        <v>FIFA TrustFIFA Trust</v>
      </c>
    </row>
    <row r="472">
      <c t="s" s="7" r="A472">
        <v>201</v>
      </c>
      <c s="7" r="B472">
        <v>105</v>
      </c>
      <c s="7" r="C472">
        <v>8</v>
      </c>
      <c t="s" s="7" r="D472">
        <v>186</v>
      </c>
      <c t="s" s="7" r="E472">
        <v>5</v>
      </c>
      <c t="s" s="7" r="F472">
        <v>5</v>
      </c>
      <c t="s" s="7" r="G472">
        <v>89</v>
      </c>
      <c t="str" s="65" r="H472">
        <f>HYPERLINK("http://sofifa.com/en/fifa13winter/player/145230-steven-gerrard","S. Gerrard")</f>
        <v>S. Gerrard</v>
      </c>
      <c s="7" r="I472">
        <v>83</v>
      </c>
      <c t="s" s="7" r="J472">
        <v>162</v>
      </c>
      <c t="s" s="7" r="K472">
        <v>110</v>
      </c>
      <c t="s" s="7" r="L472">
        <v>108</v>
      </c>
      <c s="7" r="M472">
        <v>32</v>
      </c>
      <c s="26" r="N472">
        <v>14.6</v>
      </c>
      <c s="23" r="O472">
        <v>0.082</v>
      </c>
      <c s="7" r="P472"/>
      <c s="7" r="Q472"/>
      <c s="7" r="R472">
        <f>IF((P472&gt;0),O472,0)</f>
        <v>0</v>
      </c>
      <c t="str" r="S472">
        <f>CONCATENATE(F472,E472)</f>
        <v>FIFA TrustFIFA Trust</v>
      </c>
    </row>
    <row r="473">
      <c t="s" s="7" r="A473">
        <v>201</v>
      </c>
      <c s="7" r="B473">
        <v>106</v>
      </c>
      <c s="7" r="C473">
        <v>21</v>
      </c>
      <c t="s" s="7" r="D473">
        <v>174</v>
      </c>
      <c t="s" s="7" r="E473">
        <v>5</v>
      </c>
      <c t="s" s="7" r="F473">
        <v>5</v>
      </c>
      <c t="s" s="7" r="G473">
        <v>89</v>
      </c>
      <c t="str" s="65" r="H473">
        <f>HYPERLINK("http://sofifa.com/en/fifa13winter/player/147645-lucas-pezzini-leiva","Lucas Leiva")</f>
        <v>Lucas Leiva</v>
      </c>
      <c s="7" r="I473">
        <v>81</v>
      </c>
      <c t="s" s="7" r="J473">
        <v>154</v>
      </c>
      <c t="s" s="7" r="K473">
        <v>145</v>
      </c>
      <c t="s" s="7" r="L473">
        <v>119</v>
      </c>
      <c s="7" r="M473">
        <v>25</v>
      </c>
      <c s="26" r="N473">
        <v>10.9</v>
      </c>
      <c s="23" r="O473">
        <v>0.04</v>
      </c>
      <c s="7" r="P473"/>
      <c s="7" r="Q473"/>
      <c s="7" r="R473">
        <f>IF((P473&gt;0),O473,0)</f>
        <v>0</v>
      </c>
      <c t="str" r="S473">
        <f>CONCATENATE(F473,E473)</f>
        <v>FIFA TrustFIFA Trust</v>
      </c>
    </row>
    <row r="474">
      <c t="s" s="7" r="A474">
        <v>201</v>
      </c>
      <c s="7" r="B474">
        <v>107</v>
      </c>
      <c s="7" r="C474">
        <v>19</v>
      </c>
      <c t="s" s="7" r="D474">
        <v>120</v>
      </c>
      <c t="s" s="7" r="E474">
        <v>5</v>
      </c>
      <c t="s" s="7" r="F474">
        <v>5</v>
      </c>
      <c t="s" s="7" r="G474">
        <v>89</v>
      </c>
      <c t="str" s="65" r="H474">
        <f>HYPERLINK("http://sofifa.com/en/fifa13winter/player/146744-stewart-downing","S. Downing")</f>
        <v>S. Downing</v>
      </c>
      <c s="7" r="I474">
        <v>78</v>
      </c>
      <c t="s" s="7" r="J474">
        <v>120</v>
      </c>
      <c t="s" s="7" r="K474">
        <v>114</v>
      </c>
      <c t="s" s="7" r="L474">
        <v>149</v>
      </c>
      <c s="7" r="M474">
        <v>28</v>
      </c>
      <c s="26" r="N474">
        <v>6.4</v>
      </c>
      <c s="23" r="O474">
        <v>0.02</v>
      </c>
      <c s="7" r="P474"/>
      <c s="7" r="Q474"/>
      <c s="7" r="R474">
        <f>IF((P474&gt;0),O474,0)</f>
        <v>0</v>
      </c>
      <c t="str" r="S474">
        <f>CONCATENATE(F474,E474)</f>
        <v>FIFA TrustFIFA Trust</v>
      </c>
    </row>
    <row r="475">
      <c t="s" s="7" r="A475">
        <v>201</v>
      </c>
      <c s="7" r="B475">
        <v>108</v>
      </c>
      <c s="7" r="C475">
        <v>10</v>
      </c>
      <c t="s" s="7" r="D475">
        <v>128</v>
      </c>
      <c t="s" s="7" r="E475">
        <v>5</v>
      </c>
      <c t="s" s="7" r="F475">
        <v>5</v>
      </c>
      <c t="s" s="7" r="G475">
        <v>89</v>
      </c>
      <c t="str" s="65" r="H475">
        <f>HYPERLINK("http://sofifa.com/en/fifa13winter/player/149626-philippe-coutinho-correia","Coutinho")</f>
        <v>Coutinho</v>
      </c>
      <c s="7" r="I475">
        <v>78</v>
      </c>
      <c t="s" s="7" r="J475">
        <v>162</v>
      </c>
      <c t="s" s="7" r="K475">
        <v>195</v>
      </c>
      <c t="s" s="7" r="L475">
        <v>146</v>
      </c>
      <c s="7" r="M475">
        <v>20</v>
      </c>
      <c s="26" r="N475">
        <v>9.1</v>
      </c>
      <c s="23" r="O475">
        <v>0.016</v>
      </c>
      <c s="7" r="P475"/>
      <c s="7" r="Q475"/>
      <c s="7" r="R475">
        <f>IF((P475&gt;0),O475,0)</f>
        <v>0</v>
      </c>
      <c t="str" r="S475">
        <f>CONCATENATE(F475,E475)</f>
        <v>FIFA TrustFIFA Trust</v>
      </c>
    </row>
    <row r="476">
      <c t="s" s="7" r="A476">
        <v>201</v>
      </c>
      <c s="7" r="B476">
        <v>110</v>
      </c>
      <c s="7" r="C476">
        <v>15</v>
      </c>
      <c t="s" s="7" r="D476">
        <v>129</v>
      </c>
      <c t="s" s="7" r="E476">
        <v>5</v>
      </c>
      <c t="s" s="7" r="F476">
        <v>5</v>
      </c>
      <c t="s" s="7" r="G476">
        <v>89</v>
      </c>
      <c t="str" s="65" r="H476">
        <f>HYPERLINK("http://sofifa.com/en/fifa13winter/player/148611-daniel-sturridge","D. Sturridge")</f>
        <v>D. Sturridge</v>
      </c>
      <c s="7" r="I476">
        <v>80</v>
      </c>
      <c t="s" s="7" r="J476">
        <v>129</v>
      </c>
      <c t="s" s="7" r="K476">
        <v>134</v>
      </c>
      <c t="s" s="7" r="L476">
        <v>137</v>
      </c>
      <c s="7" r="M476">
        <v>22</v>
      </c>
      <c s="26" r="N476">
        <v>12.4</v>
      </c>
      <c s="23" r="O476">
        <v>0.028</v>
      </c>
      <c s="7" r="P476"/>
      <c s="7" r="Q476"/>
      <c s="7" r="R476">
        <f>IF((P476&gt;0),O476,0)</f>
        <v>0</v>
      </c>
      <c t="str" r="S476">
        <f>CONCATENATE(F476,E476)</f>
        <v>FIFA TrustFIFA Trust</v>
      </c>
    </row>
    <row r="477">
      <c t="s" s="7" r="A477">
        <v>201</v>
      </c>
      <c s="7" r="B477">
        <v>114</v>
      </c>
      <c s="7" r="C477">
        <v>31</v>
      </c>
      <c t="s" s="7" r="D477">
        <v>136</v>
      </c>
      <c t="s" s="7" r="E477">
        <v>5</v>
      </c>
      <c t="s" s="7" r="F477">
        <v>5</v>
      </c>
      <c t="s" s="7" r="G477">
        <v>89</v>
      </c>
      <c t="str" s="65" r="H477">
        <f>HYPERLINK("http://sofifa.com/en/fifa13winter/player/150535-raheem-sterling","R. Sterling")</f>
        <v>R. Sterling</v>
      </c>
      <c s="7" r="I477">
        <v>76</v>
      </c>
      <c t="s" s="7" r="J477">
        <v>170</v>
      </c>
      <c t="s" s="7" r="K477">
        <v>121</v>
      </c>
      <c t="s" s="7" r="L477">
        <v>111</v>
      </c>
      <c s="7" r="M477">
        <v>17</v>
      </c>
      <c s="26" r="N477">
        <v>6.9</v>
      </c>
      <c s="23" r="O477">
        <v>0.011</v>
      </c>
      <c s="7" r="P477"/>
      <c s="7" r="Q477"/>
      <c s="7" r="R477">
        <f>IF((P477&gt;0),O477,0)</f>
        <v>0</v>
      </c>
      <c t="str" r="S477">
        <f>CONCATENATE(F477,E477)</f>
        <v>FIFA TrustFIFA Trust</v>
      </c>
    </row>
    <row r="478">
      <c t="s" s="7" r="A478">
        <v>201</v>
      </c>
      <c s="7" r="B478">
        <v>115</v>
      </c>
      <c s="7" r="C478">
        <v>11</v>
      </c>
      <c t="s" s="7" r="D478">
        <v>136</v>
      </c>
      <c t="s" s="7" r="E478">
        <v>5</v>
      </c>
      <c t="s" s="7" r="F478">
        <v>5</v>
      </c>
      <c t="s" s="7" r="G478">
        <v>89</v>
      </c>
      <c t="str" s="65" r="H478">
        <f>HYPERLINK("http://sofifa.com/en/fifa13winter/player/148229-oussama-assaidi","O. Assaidi")</f>
        <v>O. Assaidi</v>
      </c>
      <c s="7" r="I478">
        <v>76</v>
      </c>
      <c t="s" s="7" r="J478">
        <v>170</v>
      </c>
      <c t="s" s="7" r="K478">
        <v>118</v>
      </c>
      <c t="s" s="7" r="L478">
        <v>122</v>
      </c>
      <c s="7" r="M478">
        <v>24</v>
      </c>
      <c s="26" r="N478">
        <v>6</v>
      </c>
      <c s="23" r="O478">
        <v>0.015</v>
      </c>
      <c s="7" r="P478"/>
      <c s="7" r="Q478"/>
      <c s="7" r="R478">
        <f>IF((P478&gt;0),O478,0)</f>
        <v>0</v>
      </c>
      <c t="str" r="S478">
        <f>CONCATENATE(F478,E478)</f>
        <v>FIFA TrustFIFA Trust</v>
      </c>
    </row>
    <row r="479">
      <c t="s" s="7" r="A479">
        <v>201</v>
      </c>
      <c s="7" r="B479">
        <v>117</v>
      </c>
      <c s="7" r="C479">
        <v>24</v>
      </c>
      <c t="s" s="7" r="D479">
        <v>136</v>
      </c>
      <c t="s" s="7" r="E479">
        <v>5</v>
      </c>
      <c t="s" s="7" r="F479">
        <v>5</v>
      </c>
      <c t="s" s="7" r="G479">
        <v>89</v>
      </c>
      <c t="str" s="65" r="H479">
        <f>HYPERLINK("http://sofifa.com/en/fifa13winter/player/148805-joe-allen","J. Allen")</f>
        <v>J. Allen</v>
      </c>
      <c s="7" r="I479">
        <v>77</v>
      </c>
      <c t="s" s="7" r="J479">
        <v>124</v>
      </c>
      <c t="s" s="7" r="K479">
        <v>148</v>
      </c>
      <c t="s" s="7" r="L479">
        <v>164</v>
      </c>
      <c s="7" r="M479">
        <v>22</v>
      </c>
      <c s="26" r="N479">
        <v>6</v>
      </c>
      <c s="23" r="O479">
        <v>0.015</v>
      </c>
      <c s="7" r="P479"/>
      <c s="7" r="Q479"/>
      <c s="7" r="R479">
        <f>IF((P479&gt;0),O479,0)</f>
        <v>0</v>
      </c>
      <c t="str" r="S479">
        <f>CONCATENATE(F479,E479)</f>
        <v>FIFA TrustFIFA Trust</v>
      </c>
    </row>
    <row r="480">
      <c t="s" s="7" r="A480">
        <v>201</v>
      </c>
      <c s="7" r="B480">
        <v>119</v>
      </c>
      <c s="7" r="C480">
        <v>7</v>
      </c>
      <c t="s" s="7" r="D480">
        <v>136</v>
      </c>
      <c t="s" s="7" r="E480">
        <v>5</v>
      </c>
      <c t="s" s="7" r="F480">
        <v>5</v>
      </c>
      <c t="s" s="7" r="G480">
        <v>89</v>
      </c>
      <c t="str" s="65" r="H480">
        <f>HYPERLINK("http://sofifa.com/en/fifa13winter/player/147660-luis-suarez","L. Suárez")</f>
        <v>L. Suárez</v>
      </c>
      <c s="7" r="I480">
        <v>86</v>
      </c>
      <c t="s" s="7" r="J480">
        <v>171</v>
      </c>
      <c t="s" s="7" r="K480">
        <v>150</v>
      </c>
      <c t="s" s="7" r="L480">
        <v>183</v>
      </c>
      <c s="7" r="M480">
        <v>25</v>
      </c>
      <c s="26" r="N480">
        <v>32</v>
      </c>
      <c s="23" r="O480">
        <v>0.135</v>
      </c>
      <c s="7" r="P480"/>
      <c s="7" r="Q480"/>
      <c s="7" r="R480">
        <f>IF((P480&gt;0),O480,0)</f>
        <v>0</v>
      </c>
      <c t="str" r="S480">
        <f>CONCATENATE(F480,E480)</f>
        <v>FIFA TrustFIFA Trust</v>
      </c>
    </row>
    <row r="481">
      <c t="s" s="7" r="A481">
        <v>201</v>
      </c>
      <c s="7" r="B481">
        <v>120</v>
      </c>
      <c s="7" r="C481">
        <v>9</v>
      </c>
      <c t="s" s="7" r="D481">
        <v>136</v>
      </c>
      <c t="s" s="7" r="E481">
        <v>5</v>
      </c>
      <c t="s" s="7" r="F481">
        <v>5</v>
      </c>
      <c t="s" s="7" r="G481">
        <v>89</v>
      </c>
      <c t="str" s="65" r="H481">
        <f>HYPERLINK("http://sofifa.com/en/fifa13winter/player/148373-andy-carroll","A. Carroll")</f>
        <v>A. Carroll</v>
      </c>
      <c s="7" r="I481">
        <v>77</v>
      </c>
      <c t="s" s="7" r="J481">
        <v>129</v>
      </c>
      <c t="s" s="7" r="K481">
        <v>144</v>
      </c>
      <c t="s" s="7" r="L481">
        <v>137</v>
      </c>
      <c s="7" r="M481">
        <v>23</v>
      </c>
      <c s="26" r="N481">
        <v>8.1</v>
      </c>
      <c s="23" r="O481">
        <v>0.016</v>
      </c>
      <c s="7" r="P481"/>
      <c s="7" r="Q481"/>
      <c s="7" r="R481">
        <f>IF((P481&gt;0),O481,0)</f>
        <v>0</v>
      </c>
      <c t="str" r="S481">
        <f>CONCATENATE(F481,E481)</f>
        <v>FIFA TrustFIFA Trust</v>
      </c>
    </row>
    <row r="482">
      <c t="s" s="7" r="A482">
        <v>201</v>
      </c>
      <c s="7" r="B482">
        <v>199</v>
      </c>
      <c s="7" r="C482">
        <v>1</v>
      </c>
      <c t="s" s="7" r="D482">
        <v>106</v>
      </c>
      <c t="s" s="7" r="E482">
        <v>5</v>
      </c>
      <c t="s" s="7" r="F482">
        <v>5</v>
      </c>
      <c t="s" s="7" r="G482">
        <v>84</v>
      </c>
      <c t="str" s="65" r="H482">
        <f>HYPERLINK("http://sofifa.com/en/fifa13winter/player/146468-michel-vorm","M. Vorm")</f>
        <v>M. Vorm</v>
      </c>
      <c s="7" r="I482">
        <v>81</v>
      </c>
      <c t="s" s="7" r="J482">
        <v>106</v>
      </c>
      <c t="s" s="7" r="K482">
        <v>110</v>
      </c>
      <c t="s" s="7" r="L482">
        <v>156</v>
      </c>
      <c s="7" r="M482">
        <v>28</v>
      </c>
      <c s="26" r="N482">
        <v>9.1</v>
      </c>
      <c s="23" r="O482">
        <v>0.042</v>
      </c>
      <c s="7" r="P482"/>
      <c s="7" r="Q482"/>
      <c s="7" r="R482">
        <f>IF((P482&gt;0),O482,0)</f>
        <v>0</v>
      </c>
      <c t="str" r="S482">
        <f>CONCATENATE(F482,E482)</f>
        <v>FIFA TrustFIFA Trust</v>
      </c>
    </row>
    <row r="483">
      <c t="s" s="7" r="A483">
        <v>201</v>
      </c>
      <c s="7" r="B483">
        <v>202</v>
      </c>
      <c s="7" r="C483">
        <v>6</v>
      </c>
      <c t="s" s="7" r="D483">
        <v>116</v>
      </c>
      <c t="s" s="7" r="E483">
        <v>5</v>
      </c>
      <c t="s" s="7" r="F483">
        <v>5</v>
      </c>
      <c t="s" s="7" r="G483">
        <v>84</v>
      </c>
      <c t="str" s="65" r="H483">
        <f>HYPERLINK("http://sofifa.com/en/fifa13winter/player/146776-ashley-williams","A. Williams")</f>
        <v>A. Williams</v>
      </c>
      <c s="7" r="I483">
        <v>78</v>
      </c>
      <c t="s" s="7" r="J483">
        <v>113</v>
      </c>
      <c t="s" s="7" r="K483">
        <v>110</v>
      </c>
      <c t="s" s="7" r="L483">
        <v>142</v>
      </c>
      <c s="7" r="M483">
        <v>28</v>
      </c>
      <c s="26" r="N483">
        <v>6</v>
      </c>
      <c s="23" r="O483">
        <v>0.02</v>
      </c>
      <c s="7" r="P483"/>
      <c s="7" r="Q483"/>
      <c s="7" r="R483">
        <f>IF((P483&gt;0),O483,0)</f>
        <v>0</v>
      </c>
      <c t="str" r="S483">
        <f>CONCATENATE(F483,E483)</f>
        <v>FIFA TrustFIFA Trust</v>
      </c>
    </row>
    <row r="484">
      <c t="s" s="7" r="A484">
        <v>201</v>
      </c>
      <c s="7" r="B484">
        <v>206</v>
      </c>
      <c s="7" r="C484">
        <v>12</v>
      </c>
      <c t="s" s="7" r="D484">
        <v>120</v>
      </c>
      <c t="s" s="7" r="E484">
        <v>5</v>
      </c>
      <c t="s" s="7" r="F484">
        <v>5</v>
      </c>
      <c t="s" s="7" r="G484">
        <v>84</v>
      </c>
      <c t="str" s="65" r="H484">
        <f>HYPERLINK("http://sofifa.com/en/fifa13winter/player/147969-nathan-dyer","N. Dyer")</f>
        <v>N. Dyer</v>
      </c>
      <c s="7" r="I484">
        <v>75</v>
      </c>
      <c t="s" s="7" r="J484">
        <v>157</v>
      </c>
      <c t="s" s="7" r="K484">
        <v>197</v>
      </c>
      <c t="s" s="7" r="L484">
        <v>202</v>
      </c>
      <c s="7" r="M484">
        <v>24</v>
      </c>
      <c s="26" r="N484">
        <v>5</v>
      </c>
      <c s="23" r="O484">
        <v>0.013</v>
      </c>
      <c s="7" r="P484"/>
      <c s="7" r="Q484"/>
      <c s="7" r="R484">
        <f>IF((P484&gt;0),O484,0)</f>
        <v>0</v>
      </c>
      <c t="str" r="S484">
        <f>CONCATENATE(F484,E484)</f>
        <v>FIFA TrustFIFA Trust</v>
      </c>
    </row>
    <row r="485">
      <c t="s" s="7" r="A485">
        <v>201</v>
      </c>
      <c s="7" r="B485">
        <v>207</v>
      </c>
      <c s="7" r="C485">
        <v>11</v>
      </c>
      <c t="s" s="7" r="D485">
        <v>128</v>
      </c>
      <c t="s" s="7" r="E485">
        <v>5</v>
      </c>
      <c t="s" s="7" r="F485">
        <v>5</v>
      </c>
      <c t="s" s="7" r="G485">
        <v>84</v>
      </c>
      <c t="str" s="65" r="H485">
        <f>HYPERLINK("http://sofifa.com/en/fifa13winter/player/147007-pablo-hernandez-dominguez","Pablo Hernández")</f>
        <v>Pablo Hernández</v>
      </c>
      <c s="7" r="I485">
        <v>77</v>
      </c>
      <c t="s" s="7" r="J485">
        <v>157</v>
      </c>
      <c t="s" s="7" r="K485">
        <v>130</v>
      </c>
      <c t="s" s="7" r="L485">
        <v>141</v>
      </c>
      <c s="7" r="M485">
        <v>27</v>
      </c>
      <c s="26" r="N485">
        <v>6</v>
      </c>
      <c s="23" r="O485">
        <v>0.017</v>
      </c>
      <c s="7" r="P485"/>
      <c s="7" r="Q485"/>
      <c s="7" r="R485">
        <f>IF((P485&gt;0),O485,0)</f>
        <v>0</v>
      </c>
      <c t="str" r="S485">
        <f>CONCATENATE(F485,E485)</f>
        <v>FIFA TrustFIFA Trust</v>
      </c>
    </row>
    <row r="486">
      <c t="s" s="7" r="A486">
        <v>201</v>
      </c>
      <c s="7" r="B486">
        <v>209</v>
      </c>
      <c s="7" r="C486">
        <v>9</v>
      </c>
      <c t="s" s="7" r="D486">
        <v>129</v>
      </c>
      <c t="s" s="7" r="E486">
        <v>5</v>
      </c>
      <c t="s" s="7" r="F486">
        <v>5</v>
      </c>
      <c t="s" s="7" r="G486">
        <v>84</v>
      </c>
      <c t="str" s="65" r="H486">
        <f>HYPERLINK("http://sofifa.com/en/fifa13winter/player/147351-miguel-perez-cuesta","Michu")</f>
        <v>Michu</v>
      </c>
      <c s="7" r="I486">
        <v>78</v>
      </c>
      <c t="s" s="7" r="J486">
        <v>129</v>
      </c>
      <c t="s" s="7" r="K486">
        <v>152</v>
      </c>
      <c t="s" s="7" r="L486">
        <v>153</v>
      </c>
      <c s="7" r="M486">
        <v>26</v>
      </c>
      <c s="26" r="N486">
        <v>7.6</v>
      </c>
      <c s="23" r="O486">
        <v>0.019</v>
      </c>
      <c s="7" r="P486"/>
      <c s="7" r="Q486"/>
      <c s="7" r="R486">
        <f>IF((P486&gt;0),O486,0)</f>
        <v>0</v>
      </c>
      <c t="str" r="S486">
        <f>CONCATENATE(F486,E486)</f>
        <v>FIFA TrustFIFA Trust</v>
      </c>
    </row>
    <row r="487">
      <c t="s" s="7" r="A487">
        <v>201</v>
      </c>
      <c s="7" r="B487">
        <v>217</v>
      </c>
      <c s="7" r="C487">
        <v>14</v>
      </c>
      <c t="s" s="7" r="D487">
        <v>136</v>
      </c>
      <c t="s" s="7" r="E487">
        <v>5</v>
      </c>
      <c t="s" s="7" r="F487">
        <v>5</v>
      </c>
      <c t="s" s="7" r="G487">
        <v>84</v>
      </c>
      <c t="str" s="65" r="H487">
        <f>HYPERLINK("http://sofifa.com/en/fifa13winter/player/148001-roland-lamah","R. Lamah")</f>
        <v>R. Lamah</v>
      </c>
      <c s="7" r="I487">
        <v>75</v>
      </c>
      <c t="s" s="7" r="J487">
        <v>128</v>
      </c>
      <c t="s" s="7" r="K487">
        <v>114</v>
      </c>
      <c t="s" s="7" r="L487">
        <v>142</v>
      </c>
      <c s="7" r="M487">
        <v>24</v>
      </c>
      <c s="26" r="N487">
        <v>4.4</v>
      </c>
      <c s="23" r="O487">
        <v>0.013</v>
      </c>
      <c s="7" r="P487"/>
      <c s="7" r="Q487"/>
      <c s="7" r="R487">
        <f>IF((P487&gt;0),O487,0)</f>
        <v>0</v>
      </c>
      <c t="str" r="S487">
        <f>CONCATENATE(F487,E487)</f>
        <v>FIFA TrustFIFA Trust</v>
      </c>
    </row>
    <row r="488">
      <c t="s" s="7" r="A488">
        <v>201</v>
      </c>
      <c s="7" r="B488">
        <v>487</v>
      </c>
      <c s="30" r="C488">
        <v>22</v>
      </c>
      <c t="s" s="30" r="D488">
        <v>106</v>
      </c>
      <c t="s" s="30" r="E488">
        <v>4</v>
      </c>
      <c t="s" s="30" r="F488">
        <v>4</v>
      </c>
      <c t="s" s="30" r="G488">
        <v>203</v>
      </c>
      <c t="str" s="12" r="H488">
        <f>HYPERLINK("http://sofifa.com/en/fifa13winter/player/146213-federico-marchetti","F. Marchetti")</f>
        <v>F. Marchetti</v>
      </c>
      <c s="30" r="I488">
        <v>84</v>
      </c>
      <c t="s" s="30" r="J488">
        <v>106</v>
      </c>
      <c t="s" s="30" r="K488">
        <v>134</v>
      </c>
      <c t="s" s="30" r="L488">
        <v>108</v>
      </c>
      <c s="30" r="M488">
        <v>29</v>
      </c>
      <c s="26" r="N488">
        <v>13</v>
      </c>
      <c s="23" r="O488">
        <v>0.09</v>
      </c>
      <c s="7" r="P488"/>
      <c s="7" r="Q488"/>
      <c s="7" r="R488">
        <f>IF((P488&gt;0),O488,0)</f>
        <v>0</v>
      </c>
      <c t="str" r="S488">
        <f>CONCATENATE(F488,E488)</f>
        <v>NON FTLNON FTL</v>
      </c>
    </row>
    <row r="489">
      <c t="s" s="7" r="A489">
        <v>201</v>
      </c>
      <c s="7" r="B489">
        <v>488</v>
      </c>
      <c s="30" r="C489">
        <v>29</v>
      </c>
      <c t="s" s="30" r="D489">
        <v>109</v>
      </c>
      <c t="s" s="30" r="E489">
        <v>4</v>
      </c>
      <c t="s" s="30" r="F489">
        <v>4</v>
      </c>
      <c t="s" s="30" r="G489">
        <v>203</v>
      </c>
      <c t="str" s="12" r="H489">
        <f>HYPERLINK("http://sofifa.com/en/fifa13winter/player/146609-abdoulay-konko","A. Konko")</f>
        <v>A. Konko</v>
      </c>
      <c s="30" r="I489">
        <v>79</v>
      </c>
      <c t="s" s="30" r="J489">
        <v>109</v>
      </c>
      <c t="s" s="30" r="K489">
        <v>167</v>
      </c>
      <c t="s" s="30" r="L489">
        <v>138</v>
      </c>
      <c s="30" r="M489">
        <v>28</v>
      </c>
      <c s="26" r="N489">
        <v>6.4</v>
      </c>
      <c s="23" r="O489">
        <v>0.023</v>
      </c>
      <c s="7" r="P489"/>
      <c s="7" r="Q489"/>
      <c s="7" r="R489">
        <f>IF((P489&gt;0),O489,0)</f>
        <v>0</v>
      </c>
      <c t="str" r="S489">
        <f>CONCATENATE(F489,E489)</f>
        <v>NON FTLNON FTL</v>
      </c>
    </row>
    <row r="490">
      <c t="s" s="7" r="A490">
        <v>201</v>
      </c>
      <c s="7" r="B490">
        <v>489</v>
      </c>
      <c s="30" r="C490">
        <v>2</v>
      </c>
      <c t="s" s="30" r="D490">
        <v>112</v>
      </c>
      <c t="s" s="30" r="E490">
        <v>4</v>
      </c>
      <c t="s" s="30" r="F490">
        <v>4</v>
      </c>
      <c t="s" s="30" r="G490">
        <v>203</v>
      </c>
      <c t="str" s="12" r="H490">
        <f>HYPERLINK("http://sofifa.com/en/fifa13winter/player/146637-michael-ciani","M. Ciani")</f>
        <v>M. Ciani</v>
      </c>
      <c s="30" r="I490">
        <v>77</v>
      </c>
      <c t="s" s="30" r="J490">
        <v>113</v>
      </c>
      <c t="s" s="30" r="K490">
        <v>169</v>
      </c>
      <c t="s" s="30" r="L490">
        <v>185</v>
      </c>
      <c s="30" r="M490">
        <v>28</v>
      </c>
      <c s="26" r="N490">
        <v>5.8</v>
      </c>
      <c s="23" r="O490">
        <v>0.017</v>
      </c>
      <c s="7" r="P490"/>
      <c s="7" r="Q490"/>
      <c s="7" r="R490">
        <f>IF((P490&gt;0),O490,0)</f>
        <v>0</v>
      </c>
      <c t="str" r="S490">
        <f>CONCATENATE(F490,E490)</f>
        <v>NON FTLNON FTL</v>
      </c>
    </row>
    <row r="491">
      <c t="s" s="7" r="A491">
        <v>201</v>
      </c>
      <c s="7" r="B491">
        <v>490</v>
      </c>
      <c s="30" r="C491">
        <v>3</v>
      </c>
      <c t="s" s="30" r="D491">
        <v>116</v>
      </c>
      <c t="s" s="30" r="E491">
        <v>4</v>
      </c>
      <c t="s" s="30" r="F491">
        <v>4</v>
      </c>
      <c t="s" s="30" r="G491">
        <v>203</v>
      </c>
      <c t="str" s="12" r="H491">
        <f>HYPERLINK("http://sofifa.com/en/fifa13winter/player/144849-andre-goncalves-dias","Andrè Dias")</f>
        <v>Andrè Dias</v>
      </c>
      <c s="30" r="I491">
        <v>80</v>
      </c>
      <c t="s" s="30" r="J491">
        <v>113</v>
      </c>
      <c t="s" s="30" r="K491">
        <v>167</v>
      </c>
      <c t="s" s="30" r="L491">
        <v>153</v>
      </c>
      <c s="30" r="M491">
        <v>33</v>
      </c>
      <c s="26" r="N491">
        <v>6.7</v>
      </c>
      <c s="23" r="O491">
        <v>0.037</v>
      </c>
      <c s="7" r="P491"/>
      <c s="7" r="Q491"/>
      <c s="7" r="R491">
        <f>IF((P491&gt;0),O491,0)</f>
        <v>0</v>
      </c>
      <c t="str" r="S491">
        <f>CONCATENATE(F491,E491)</f>
        <v>NON FTLNON FTL</v>
      </c>
    </row>
    <row r="492">
      <c t="s" s="7" r="A492">
        <v>201</v>
      </c>
      <c s="7" r="B492">
        <v>491</v>
      </c>
      <c s="30" r="C492">
        <v>26</v>
      </c>
      <c t="s" s="30" r="D492">
        <v>117</v>
      </c>
      <c t="s" s="30" r="E492">
        <v>4</v>
      </c>
      <c t="s" s="30" r="F492">
        <v>4</v>
      </c>
      <c t="s" s="30" r="G492">
        <v>203</v>
      </c>
      <c t="str" s="12" r="H492">
        <f>HYPERLINK("http://sofifa.com/en/fifa13winter/player/147566-stefan-radu","S. Radu")</f>
        <v>S. Radu</v>
      </c>
      <c s="30" r="I492">
        <v>79</v>
      </c>
      <c t="s" s="30" r="J492">
        <v>117</v>
      </c>
      <c t="s" s="30" r="K492">
        <v>110</v>
      </c>
      <c t="s" s="30" r="L492">
        <v>158</v>
      </c>
      <c s="30" r="M492">
        <v>25</v>
      </c>
      <c s="26" r="N492">
        <v>7.3</v>
      </c>
      <c s="23" r="O492">
        <v>0.022</v>
      </c>
      <c s="7" r="P492"/>
      <c s="7" r="Q492"/>
      <c s="7" r="R492">
        <f>IF((P492&gt;0),O492,0)</f>
        <v>0</v>
      </c>
      <c t="str" r="S492">
        <f>CONCATENATE(F492,E492)</f>
        <v>NON FTLNON FTL</v>
      </c>
    </row>
    <row r="493">
      <c t="s" s="7" r="A493">
        <v>201</v>
      </c>
      <c s="7" r="B493">
        <v>492</v>
      </c>
      <c s="30" r="C493">
        <v>24</v>
      </c>
      <c t="s" s="30" r="D493">
        <v>154</v>
      </c>
      <c t="s" s="30" r="E493">
        <v>4</v>
      </c>
      <c t="s" s="30" r="F493">
        <v>4</v>
      </c>
      <c t="s" s="30" r="G493">
        <v>203</v>
      </c>
      <c t="str" s="12" r="H493">
        <f>HYPERLINK("http://sofifa.com/en/fifa13winter/player/146077-cristian-ledesma","C. Ledesma")</f>
        <v>C. Ledesma</v>
      </c>
      <c s="30" r="I493">
        <v>82</v>
      </c>
      <c t="s" s="30" r="J493">
        <v>124</v>
      </c>
      <c t="s" s="30" r="K493">
        <v>114</v>
      </c>
      <c t="s" s="30" r="L493">
        <v>122</v>
      </c>
      <c s="30" r="M493">
        <v>29</v>
      </c>
      <c s="26" r="N493">
        <v>12</v>
      </c>
      <c s="23" r="O493">
        <v>0.057</v>
      </c>
      <c s="7" r="P493"/>
      <c s="7" r="Q493"/>
      <c s="7" r="R493">
        <f>IF((P493&gt;0),O493,0)</f>
        <v>0</v>
      </c>
      <c t="str" r="S493">
        <f>CONCATENATE(F493,E493)</f>
        <v>NON FTLNON FTL</v>
      </c>
    </row>
    <row r="494">
      <c t="s" s="7" r="A494">
        <v>201</v>
      </c>
      <c s="7" r="B494">
        <v>493</v>
      </c>
      <c s="30" r="C494">
        <v>87</v>
      </c>
      <c t="s" s="30" r="D494">
        <v>120</v>
      </c>
      <c t="s" s="30" r="E494">
        <v>4</v>
      </c>
      <c t="s" s="30" r="F494">
        <v>4</v>
      </c>
      <c t="s" s="30" r="G494">
        <v>203</v>
      </c>
      <c t="str" s="12" r="H494">
        <f>HYPERLINK("http://sofifa.com/en/fifa13winter/player/147695-antonio-candreva","A. Candreva")</f>
        <v>A. Candreva</v>
      </c>
      <c s="30" r="I494">
        <v>81</v>
      </c>
      <c t="s" s="30" r="J494">
        <v>120</v>
      </c>
      <c t="s" s="30" r="K494">
        <v>150</v>
      </c>
      <c t="s" s="30" r="L494">
        <v>146</v>
      </c>
      <c s="30" r="M494">
        <v>25</v>
      </c>
      <c s="26" r="N494">
        <v>13</v>
      </c>
      <c s="23" r="O494">
        <v>0.04</v>
      </c>
      <c s="7" r="P494"/>
      <c s="7" r="Q494"/>
      <c s="7" r="R494">
        <f>IF((P494&gt;0),O494,0)</f>
        <v>0</v>
      </c>
      <c t="str" r="S494">
        <f>CONCATENATE(F494,E494)</f>
        <v>NON FTLNON FTL</v>
      </c>
    </row>
    <row r="495">
      <c t="s" s="7" r="A495">
        <v>201</v>
      </c>
      <c s="7" r="B495">
        <v>494</v>
      </c>
      <c s="30" r="C495">
        <v>15</v>
      </c>
      <c t="s" s="30" r="D495">
        <v>123</v>
      </c>
      <c t="s" s="30" r="E495">
        <v>4</v>
      </c>
      <c t="s" s="30" r="F495">
        <v>4</v>
      </c>
      <c t="s" s="30" r="G495">
        <v>203</v>
      </c>
      <c t="str" s="12" r="H495">
        <f>HYPERLINK("http://sofifa.com/en/fifa13winter/player/146843-alvaro-gonzalez","A. González")</f>
        <v>A. González</v>
      </c>
      <c s="30" r="I495">
        <v>78</v>
      </c>
      <c t="s" s="30" r="J495">
        <v>124</v>
      </c>
      <c t="s" s="30" r="K495">
        <v>172</v>
      </c>
      <c t="s" s="30" r="L495">
        <v>111</v>
      </c>
      <c s="30" r="M495">
        <v>27</v>
      </c>
      <c s="26" r="N495">
        <v>6.2</v>
      </c>
      <c s="23" r="O495">
        <v>0.019</v>
      </c>
      <c s="7" r="P495"/>
      <c s="7" r="Q495"/>
      <c s="7" r="R495">
        <f>IF((P495&gt;0),O495,0)</f>
        <v>0</v>
      </c>
      <c t="str" r="S495">
        <f>CONCATENATE(F495,E495)</f>
        <v>NON FTLNON FTL</v>
      </c>
    </row>
    <row r="496">
      <c t="s" s="7" r="A496">
        <v>201</v>
      </c>
      <c s="7" r="B496">
        <v>495</v>
      </c>
      <c s="30" r="C496">
        <v>8</v>
      </c>
      <c t="s" s="30" r="D496">
        <v>126</v>
      </c>
      <c t="s" s="30" r="E496">
        <v>4</v>
      </c>
      <c t="s" s="30" r="F496">
        <v>4</v>
      </c>
      <c t="s" s="30" r="G496">
        <v>203</v>
      </c>
      <c t="str" s="12" r="H496">
        <f>HYPERLINK("http://sofifa.com/en/fifa13winter/player/147055-a-hernanes-de-carvalho-a-lima","Hernanes")</f>
        <v>Hernanes</v>
      </c>
      <c s="30" r="I496">
        <v>84</v>
      </c>
      <c t="s" s="30" r="J496">
        <v>162</v>
      </c>
      <c t="s" s="30" r="K496">
        <v>114</v>
      </c>
      <c t="s" s="30" r="L496">
        <v>137</v>
      </c>
      <c s="30" r="M496">
        <v>27</v>
      </c>
      <c s="26" r="N496">
        <v>20.7</v>
      </c>
      <c s="23" r="O496">
        <v>0.083</v>
      </c>
      <c s="7" r="P496"/>
      <c s="7" r="Q496"/>
      <c s="7" r="R496">
        <f>IF((P496&gt;0),O496,0)</f>
        <v>0</v>
      </c>
      <c t="str" r="S496">
        <f>CONCATENATE(F496,E496)</f>
        <v>NON FTLNON FTL</v>
      </c>
    </row>
    <row r="497">
      <c t="s" s="7" r="A497">
        <v>201</v>
      </c>
      <c s="7" r="B497">
        <v>496</v>
      </c>
      <c s="30" r="C497">
        <v>6</v>
      </c>
      <c t="s" s="30" r="D497">
        <v>128</v>
      </c>
      <c t="s" s="30" r="E497">
        <v>4</v>
      </c>
      <c t="s" s="30" r="F497">
        <v>4</v>
      </c>
      <c t="s" s="30" r="G497">
        <v>203</v>
      </c>
      <c t="str" s="12" r="H497">
        <f>HYPERLINK("http://sofifa.com/en/fifa13winter/player/145087-stefano-mauri","S. Mauri")</f>
        <v>S. Mauri</v>
      </c>
      <c s="30" r="I497">
        <v>80</v>
      </c>
      <c t="s" s="30" r="J497">
        <v>128</v>
      </c>
      <c t="s" s="30" r="K497">
        <v>167</v>
      </c>
      <c t="s" s="30" r="L497">
        <v>138</v>
      </c>
      <c s="30" r="M497">
        <v>32</v>
      </c>
      <c s="26" r="N497">
        <v>7.5</v>
      </c>
      <c s="23" r="O497">
        <v>0.036</v>
      </c>
      <c s="7" r="P497"/>
      <c s="7" r="Q497"/>
      <c s="7" r="R497">
        <f>IF((P497&gt;0),O497,0)</f>
        <v>0</v>
      </c>
      <c t="str" r="S497">
        <f>CONCATENATE(F497,E497)</f>
        <v>NON FTLNON FTL</v>
      </c>
    </row>
    <row r="498">
      <c t="s" s="7" r="A498">
        <v>201</v>
      </c>
      <c s="7" r="B498">
        <v>497</v>
      </c>
      <c s="30" r="C498">
        <v>11</v>
      </c>
      <c t="s" s="30" r="D498">
        <v>129</v>
      </c>
      <c t="s" s="30" r="E498">
        <v>4</v>
      </c>
      <c t="s" s="30" r="F498">
        <v>4</v>
      </c>
      <c t="s" s="30" r="G498">
        <v>203</v>
      </c>
      <c t="str" s="12" r="H498">
        <f>HYPERLINK("http://sofifa.com/en/fifa13winter/player/144509-miroslav-klose","M. Klose")</f>
        <v>M. Klose</v>
      </c>
      <c s="30" r="I498">
        <v>84</v>
      </c>
      <c t="s" s="30" r="J498">
        <v>129</v>
      </c>
      <c t="s" s="30" r="K498">
        <v>167</v>
      </c>
      <c t="s" s="30" r="L498">
        <v>160</v>
      </c>
      <c s="30" r="M498">
        <v>34</v>
      </c>
      <c s="26" r="N498">
        <v>15.6</v>
      </c>
      <c s="23" r="O498">
        <v>0.107</v>
      </c>
      <c s="7" r="P498"/>
      <c s="7" r="Q498"/>
      <c s="7" r="R498">
        <f>IF((P498&gt;0),O498,0)</f>
        <v>0</v>
      </c>
      <c t="str" r="S498">
        <f>CONCATENATE(F498,E498)</f>
        <v>NON FTLNON FTL</v>
      </c>
    </row>
    <row r="499">
      <c t="s" s="7" r="A499">
        <v>201</v>
      </c>
      <c s="7" r="B499">
        <v>498</v>
      </c>
      <c s="30" r="C499">
        <v>18</v>
      </c>
      <c t="s" s="30" r="D499">
        <v>136</v>
      </c>
      <c t="s" s="30" r="E499">
        <v>4</v>
      </c>
      <c t="s" s="30" r="F499">
        <v>4</v>
      </c>
      <c t="s" s="30" r="G499">
        <v>203</v>
      </c>
      <c t="str" s="12" r="H499">
        <f>HYPERLINK("http://sofifa.com/en/fifa13winter/player/148517-libor-kozak","L. Kozák")</f>
        <v>L. Kozák</v>
      </c>
      <c s="30" r="I499">
        <v>75</v>
      </c>
      <c t="s" s="30" r="J499">
        <v>129</v>
      </c>
      <c t="s" s="30" r="K499">
        <v>165</v>
      </c>
      <c t="s" s="30" r="L499">
        <v>156</v>
      </c>
      <c s="30" r="M499">
        <v>23</v>
      </c>
      <c s="26" r="N499">
        <v>5.6</v>
      </c>
      <c s="23" r="O499">
        <v>0.012</v>
      </c>
      <c s="7" r="P499"/>
      <c s="7" r="Q499"/>
      <c s="7" r="R499">
        <f>IF((P499&gt;0),O499,0)</f>
        <v>0</v>
      </c>
      <c t="str" r="S499">
        <f>CONCATENATE(F499,E499)</f>
        <v>NON FTLNON FTL</v>
      </c>
    </row>
    <row r="500">
      <c t="s" s="7" r="A500">
        <v>201</v>
      </c>
      <c s="7" r="B500">
        <v>499</v>
      </c>
      <c s="30" r="C500">
        <v>39</v>
      </c>
      <c t="s" s="30" r="D500">
        <v>136</v>
      </c>
      <c t="s" s="30" r="E500">
        <v>4</v>
      </c>
      <c t="s" s="30" r="F500">
        <v>4</v>
      </c>
      <c t="s" s="30" r="G500">
        <v>203</v>
      </c>
      <c t="str" s="12" r="H500">
        <f>HYPERLINK("http://sofifa.com/en/fifa13winter/player/149099-luis-pedro-cavanda","L. Cavanda")</f>
        <v>L. Cavanda</v>
      </c>
      <c s="30" r="I500">
        <v>74</v>
      </c>
      <c t="s" s="30" r="J500">
        <v>109</v>
      </c>
      <c t="s" s="30" r="K500">
        <v>132</v>
      </c>
      <c t="s" s="30" r="L500">
        <v>158</v>
      </c>
      <c s="30" r="M500">
        <v>21</v>
      </c>
      <c s="26" r="N500">
        <v>3.5</v>
      </c>
      <c s="23" r="O500">
        <v>0.009</v>
      </c>
      <c s="7" r="P500"/>
      <c s="7" r="Q500"/>
      <c s="7" r="R500">
        <f>IF((P500&gt;0),O500,0)</f>
        <v>0</v>
      </c>
      <c t="str" r="S500">
        <f>CONCATENATE(F500,E500)</f>
        <v>NON FTLNON FTL</v>
      </c>
    </row>
    <row r="501">
      <c t="s" s="7" r="A501">
        <v>201</v>
      </c>
      <c s="7" r="B501">
        <v>500</v>
      </c>
      <c s="30" r="C501">
        <v>23</v>
      </c>
      <c t="s" s="30" r="D501">
        <v>136</v>
      </c>
      <c t="s" s="30" r="E501">
        <v>4</v>
      </c>
      <c t="s" s="30" r="F501">
        <v>4</v>
      </c>
      <c t="s" s="30" r="G501">
        <v>203</v>
      </c>
      <c t="str" s="12" r="H501">
        <f>HYPERLINK("http://sofifa.com/en/fifa13winter/player/149822-ogenyi-onazi","O. Onazi")</f>
        <v>O. Onazi</v>
      </c>
      <c s="30" r="I501">
        <v>73</v>
      </c>
      <c t="s" s="30" r="J501">
        <v>124</v>
      </c>
      <c t="s" s="30" r="K501">
        <v>121</v>
      </c>
      <c t="s" s="30" r="L501">
        <v>142</v>
      </c>
      <c s="30" r="M501">
        <v>19</v>
      </c>
      <c s="26" r="N501">
        <v>3.4</v>
      </c>
      <c s="23" r="O501">
        <v>0.008</v>
      </c>
      <c s="7" r="P501"/>
      <c s="7" r="Q501"/>
      <c s="7" r="R501">
        <f>IF((P501&gt;0),O501,0)</f>
        <v>0</v>
      </c>
      <c t="str" r="S501">
        <f>CONCATENATE(F501,E501)</f>
        <v>NON FTLNON FTL</v>
      </c>
    </row>
    <row r="502">
      <c t="s" s="7" r="A502">
        <v>201</v>
      </c>
      <c s="7" r="B502">
        <v>501</v>
      </c>
      <c s="30" r="C502">
        <v>17</v>
      </c>
      <c t="s" s="30" r="D502">
        <v>136</v>
      </c>
      <c t="s" s="30" r="E502">
        <v>4</v>
      </c>
      <c t="s" s="30" r="F502">
        <v>4</v>
      </c>
      <c t="s" s="30" r="G502">
        <v>203</v>
      </c>
      <c t="str" s="12" r="H502">
        <f>HYPERLINK("http://sofifa.com/en/fifa13winter/player/148063-bruno-alexandre-marques-pereirinha","Pereirinha")</f>
        <v>Pereirinha</v>
      </c>
      <c s="30" r="I502">
        <v>72</v>
      </c>
      <c t="s" s="30" r="J502">
        <v>109</v>
      </c>
      <c t="s" s="30" r="K502">
        <v>139</v>
      </c>
      <c t="s" s="30" r="L502">
        <v>151</v>
      </c>
      <c s="30" r="M502">
        <v>24</v>
      </c>
      <c s="26" r="N502">
        <v>2.5</v>
      </c>
      <c s="23" r="O502">
        <v>0.009</v>
      </c>
      <c s="7" r="P502"/>
      <c s="7" r="Q502"/>
      <c s="7" r="R502">
        <f>IF((P502&gt;0),O502,0)</f>
        <v>0</v>
      </c>
      <c t="str" r="S502">
        <f>CONCATENATE(F502,E502)</f>
        <v>NON FTLNON FTL</v>
      </c>
    </row>
    <row r="503">
      <c t="s" s="7" r="A503">
        <v>201</v>
      </c>
      <c s="7" r="B503">
        <v>502</v>
      </c>
      <c s="30" r="C503">
        <v>19</v>
      </c>
      <c t="s" s="30" r="D503">
        <v>136</v>
      </c>
      <c t="s" s="30" r="E503">
        <v>4</v>
      </c>
      <c t="s" s="30" r="F503">
        <v>4</v>
      </c>
      <c t="s" s="30" r="G503">
        <v>203</v>
      </c>
      <c t="str" s="12" r="H503">
        <f>HYPERLINK("http://sofifa.com/en/fifa13winter/player/147289-senad-lulic","S. Lulić")</f>
        <v>S. Lulić</v>
      </c>
      <c s="30" r="I503">
        <v>79</v>
      </c>
      <c t="s" s="30" r="J503">
        <v>128</v>
      </c>
      <c t="s" s="30" r="K503">
        <v>110</v>
      </c>
      <c t="s" s="30" r="L503">
        <v>161</v>
      </c>
      <c s="30" r="M503">
        <v>26</v>
      </c>
      <c s="26" r="N503">
        <v>7.4</v>
      </c>
      <c s="23" r="O503">
        <v>0.022</v>
      </c>
      <c s="7" r="P503"/>
      <c s="7" r="Q503"/>
      <c s="7" r="R503">
        <f>IF((P503&gt;0),O503,0)</f>
        <v>0</v>
      </c>
      <c t="str" r="S503">
        <f>CONCATENATE(F503,E503)</f>
        <v>NON FTLNON FTL</v>
      </c>
    </row>
    <row r="504">
      <c t="s" s="7" r="A504">
        <v>201</v>
      </c>
      <c s="7" r="B504">
        <v>503</v>
      </c>
      <c s="30" r="C504">
        <v>99</v>
      </c>
      <c t="s" s="30" r="D504">
        <v>136</v>
      </c>
      <c t="s" s="30" r="E504">
        <v>4</v>
      </c>
      <c t="s" s="30" r="F504">
        <v>4</v>
      </c>
      <c t="s" s="30" r="G504">
        <v>203</v>
      </c>
      <c t="str" s="12" r="H504">
        <f>HYPERLINK("http://sofifa.com/en/fifa13winter/player/145761-sergio-floccari","S. Floccari")</f>
        <v>S. Floccari</v>
      </c>
      <c s="30" r="I504">
        <v>78</v>
      </c>
      <c t="s" s="30" r="J504">
        <v>129</v>
      </c>
      <c t="s" s="30" r="K504">
        <v>114</v>
      </c>
      <c t="s" s="30" r="L504">
        <v>158</v>
      </c>
      <c s="30" r="M504">
        <v>30</v>
      </c>
      <c s="26" r="N504">
        <v>6.5</v>
      </c>
      <c s="23" r="O504">
        <v>0.021</v>
      </c>
      <c s="7" r="P504"/>
      <c s="7" r="Q504"/>
      <c s="7" r="R504">
        <f>IF((P504&gt;0),O504,0)</f>
        <v>0</v>
      </c>
      <c t="str" r="S504">
        <f>CONCATENATE(F504,E504)</f>
        <v>NON FTLNON FTL</v>
      </c>
    </row>
    <row r="505">
      <c t="s" s="7" r="A505">
        <v>201</v>
      </c>
      <c s="7" r="B505">
        <v>504</v>
      </c>
      <c s="30" r="C505">
        <v>1</v>
      </c>
      <c t="s" s="30" r="D505">
        <v>136</v>
      </c>
      <c t="s" s="30" r="E505">
        <v>4</v>
      </c>
      <c t="s" s="30" r="F505">
        <v>4</v>
      </c>
      <c t="s" s="30" r="G505">
        <v>203</v>
      </c>
      <c t="str" s="12" r="H505">
        <f>HYPERLINK("http://sofifa.com/en/fifa13winter/player/144297-albano-bizzarri","A. Bizzarri")</f>
        <v>A. Bizzarri</v>
      </c>
      <c s="30" r="I505">
        <v>74</v>
      </c>
      <c t="s" s="30" r="J505">
        <v>106</v>
      </c>
      <c t="s" s="30" r="K505">
        <v>134</v>
      </c>
      <c t="s" s="30" r="L505">
        <v>108</v>
      </c>
      <c s="30" r="M505">
        <v>34</v>
      </c>
      <c s="26" r="N505">
        <v>1.8</v>
      </c>
      <c s="23" r="O505">
        <v>0.014</v>
      </c>
      <c s="7" r="P505"/>
      <c s="7" r="Q505"/>
      <c s="7" r="R505">
        <f>IF((P505&gt;0),O505,0)</f>
        <v>0</v>
      </c>
      <c t="str" r="S505">
        <f>CONCATENATE(F505,E505)</f>
        <v>NON FTLNON FTL</v>
      </c>
    </row>
    <row r="506">
      <c t="s" s="7" r="A506">
        <v>201</v>
      </c>
      <c s="7" r="B506">
        <v>505</v>
      </c>
      <c s="30" r="C506">
        <v>33</v>
      </c>
      <c t="s" s="30" r="D506">
        <v>136</v>
      </c>
      <c t="s" s="30" r="E506">
        <v>4</v>
      </c>
      <c t="s" s="30" r="F506">
        <v>4</v>
      </c>
      <c t="s" s="30" r="G506">
        <v>203</v>
      </c>
      <c t="str" s="12" r="H506">
        <f>HYPERLINK("http://sofifa.com/en/fifa13winter/player/145641-marius-stankevicius","M. Stankevicius")</f>
        <v>M. Stankevicius</v>
      </c>
      <c s="30" r="I506">
        <v>74</v>
      </c>
      <c t="s" s="30" r="J506">
        <v>113</v>
      </c>
      <c t="s" s="30" r="K506">
        <v>152</v>
      </c>
      <c t="s" s="30" r="L506">
        <v>108</v>
      </c>
      <c s="30" r="M506">
        <v>31</v>
      </c>
      <c s="26" r="N506">
        <v>2.9</v>
      </c>
      <c s="23" r="O506">
        <v>0.012</v>
      </c>
      <c s="7" r="P506"/>
      <c s="7" r="Q506"/>
      <c s="7" r="R506">
        <f>IF((P506&gt;0),O506,0)</f>
        <v>0</v>
      </c>
      <c t="str" r="S506">
        <f>CONCATENATE(F506,E506)</f>
        <v>NON FTLNON FTL</v>
      </c>
    </row>
    <row r="507">
      <c t="s" s="7" r="A507">
        <v>201</v>
      </c>
      <c s="7" r="B507">
        <v>506</v>
      </c>
      <c s="30" r="C507">
        <v>27</v>
      </c>
      <c t="s" s="30" r="D507">
        <v>136</v>
      </c>
      <c t="s" s="30" r="E507">
        <v>4</v>
      </c>
      <c t="s" s="30" r="F507">
        <v>4</v>
      </c>
      <c t="s" s="30" r="G507">
        <v>203</v>
      </c>
      <c t="str" s="12" r="H507">
        <f>HYPERLINK("http://sofifa.com/en/fifa13winter/player/146383-lorik-cana","L. Cana")</f>
        <v>L. Cana</v>
      </c>
      <c s="30" r="I507">
        <v>78</v>
      </c>
      <c t="s" s="30" r="J507">
        <v>113</v>
      </c>
      <c t="s" s="30" r="K507">
        <v>173</v>
      </c>
      <c t="s" s="30" r="L507">
        <v>179</v>
      </c>
      <c s="30" r="M507">
        <v>29</v>
      </c>
      <c s="26" r="N507">
        <v>6.2</v>
      </c>
      <c s="23" r="O507">
        <v>0.02</v>
      </c>
      <c s="7" r="P507"/>
      <c s="7" r="Q507"/>
      <c s="7" r="R507">
        <f>IF((P507&gt;0),O507,0)</f>
        <v>0</v>
      </c>
      <c t="str" r="S507">
        <f>CONCATENATE(F507,E507)</f>
        <v>NON FTLNON FTL</v>
      </c>
    </row>
    <row r="508">
      <c t="s" s="7" r="A508">
        <v>201</v>
      </c>
      <c s="7" r="B508">
        <v>507</v>
      </c>
      <c s="30" r="C508">
        <v>20</v>
      </c>
      <c t="s" s="30" r="D508">
        <v>136</v>
      </c>
      <c t="s" s="30" r="E508">
        <v>4</v>
      </c>
      <c t="s" s="30" r="F508">
        <v>4</v>
      </c>
      <c t="s" s="30" r="G508">
        <v>203</v>
      </c>
      <c t="str" s="12" r="H508">
        <f>HYPERLINK("http://sofifa.com/en/fifa13winter/player/144112-giuseppe-biava","G. Biava")</f>
        <v>G. Biava</v>
      </c>
      <c s="30" r="I508">
        <v>77</v>
      </c>
      <c t="s" s="30" r="J508">
        <v>113</v>
      </c>
      <c t="s" s="30" r="K508">
        <v>114</v>
      </c>
      <c t="s" s="30" r="L508">
        <v>119</v>
      </c>
      <c s="30" r="M508">
        <v>35</v>
      </c>
      <c s="26" r="N508">
        <v>3.4</v>
      </c>
      <c s="23" r="O508">
        <v>0.021</v>
      </c>
      <c s="7" r="P508"/>
      <c s="7" r="Q508"/>
      <c s="7" r="R508">
        <f>IF((P508&gt;0),O508,0)</f>
        <v>0</v>
      </c>
      <c t="str" r="S508">
        <f>CONCATENATE(F508,E508)</f>
        <v>NON FTLNON FTL</v>
      </c>
    </row>
    <row r="509">
      <c t="s" s="7" r="A509">
        <v>201</v>
      </c>
      <c s="7" r="B509">
        <v>508</v>
      </c>
      <c s="30" r="C509">
        <v>7</v>
      </c>
      <c t="s" s="30" r="D509">
        <v>136</v>
      </c>
      <c t="s" s="30" r="E509">
        <v>4</v>
      </c>
      <c t="s" s="30" r="F509">
        <v>4</v>
      </c>
      <c t="s" s="30" r="G509">
        <v>203</v>
      </c>
      <c t="str" s="12" r="H509">
        <f>HYPERLINK("http://sofifa.com/en/fifa13winter/player/147284-ederson-honorato-campos","Ederson")</f>
        <v>Ederson</v>
      </c>
      <c s="30" r="I509">
        <v>77</v>
      </c>
      <c t="s" s="30" r="J509">
        <v>162</v>
      </c>
      <c t="s" s="30" r="K509">
        <v>150</v>
      </c>
      <c t="s" s="30" r="L509">
        <v>160</v>
      </c>
      <c s="30" r="M509">
        <v>26</v>
      </c>
      <c s="26" r="N509">
        <v>6.4</v>
      </c>
      <c s="23" r="O509">
        <v>0.017</v>
      </c>
      <c s="7" r="P509"/>
      <c s="7" r="Q509"/>
      <c s="7" r="R509">
        <f>IF((P509&gt;0),O509,0)</f>
        <v>0</v>
      </c>
      <c t="str" r="S509">
        <f>CONCATENATE(F509,E509)</f>
        <v>NON FTLNON FTL</v>
      </c>
    </row>
    <row r="510">
      <c t="s" s="7" r="A510">
        <v>201</v>
      </c>
      <c s="7" r="B510">
        <v>509</v>
      </c>
      <c s="30" r="C510">
        <v>28</v>
      </c>
      <c t="s" s="30" r="D510">
        <v>136</v>
      </c>
      <c t="s" s="30" r="E510">
        <v>4</v>
      </c>
      <c t="s" s="30" r="F510">
        <v>4</v>
      </c>
      <c t="s" s="30" r="G510">
        <v>203</v>
      </c>
      <c t="str" s="12" r="H510">
        <f>HYPERLINK("http://sofifa.com/en/fifa13winter/player/144569-louis-saha","L. Saha")</f>
        <v>L. Saha</v>
      </c>
      <c s="30" r="I510">
        <v>76</v>
      </c>
      <c t="s" s="30" r="J510">
        <v>129</v>
      </c>
      <c t="s" s="30" r="K510">
        <v>132</v>
      </c>
      <c t="s" s="30" r="L510">
        <v>111</v>
      </c>
      <c s="30" r="M510">
        <v>34</v>
      </c>
      <c s="26" r="N510">
        <v>3.8</v>
      </c>
      <c s="23" r="O510">
        <v>0.019</v>
      </c>
      <c s="7" r="P510"/>
      <c s="7" r="Q510"/>
      <c s="7" r="R510">
        <f>IF((P510&gt;0),O510,0)</f>
        <v>0</v>
      </c>
      <c t="str" r="S510">
        <f>CONCATENATE(F510,E510)</f>
        <v>NON FTLNON FTL</v>
      </c>
    </row>
    <row r="511">
      <c t="s" s="7" r="A511">
        <v>201</v>
      </c>
      <c s="7" r="B511">
        <v>510</v>
      </c>
      <c s="30" r="C511">
        <v>10</v>
      </c>
      <c t="s" s="30" r="D511">
        <v>147</v>
      </c>
      <c t="s" s="30" r="E511">
        <v>4</v>
      </c>
      <c t="s" s="30" r="F511">
        <v>4</v>
      </c>
      <c t="s" s="30" r="G511">
        <v>203</v>
      </c>
      <c t="str" s="12" r="H511">
        <f>HYPERLINK("http://sofifa.com/en/fifa13winter/player/147713-mauro-zarate","M. Zárate")</f>
        <v>M. Zárate</v>
      </c>
      <c s="30" r="I511">
        <v>74</v>
      </c>
      <c t="s" s="30" r="J511">
        <v>171</v>
      </c>
      <c t="s" s="30" r="K511">
        <v>172</v>
      </c>
      <c t="s" s="30" r="L511">
        <v>137</v>
      </c>
      <c s="30" r="M511">
        <v>25</v>
      </c>
      <c s="26" r="N511">
        <v>4.4</v>
      </c>
      <c s="23" r="O511">
        <v>0.011</v>
      </c>
      <c s="7" r="P511"/>
      <c s="7" r="Q511"/>
      <c s="7" r="R511">
        <f>IF((P511&gt;0),O511,0)</f>
        <v>0</v>
      </c>
      <c t="str" r="S511">
        <f>CONCATENATE(F511,E511)</f>
        <v>NON FTLNON FTL</v>
      </c>
    </row>
    <row r="512">
      <c t="s" s="7" r="A512">
        <v>201</v>
      </c>
      <c s="7" r="B512">
        <v>511</v>
      </c>
      <c s="30" r="C512">
        <v>21</v>
      </c>
      <c t="s" s="30" r="D512">
        <v>147</v>
      </c>
      <c t="s" s="30" r="E512">
        <v>4</v>
      </c>
      <c t="s" s="30" r="F512">
        <v>4</v>
      </c>
      <c t="s" s="30" r="G512">
        <v>203</v>
      </c>
      <c t="str" s="12" r="H512">
        <f>HYPERLINK("http://sofifa.com/en/fifa13winter/player/147697-mobido-diakite","M. Diakité")</f>
        <v>M. Diakité</v>
      </c>
      <c s="30" r="I512">
        <v>76</v>
      </c>
      <c t="s" s="30" r="J512">
        <v>113</v>
      </c>
      <c t="s" s="30" r="K512">
        <v>165</v>
      </c>
      <c t="s" s="30" r="L512">
        <v>175</v>
      </c>
      <c s="30" r="M512">
        <v>25</v>
      </c>
      <c s="26" r="N512">
        <v>5.3</v>
      </c>
      <c s="23" r="O512">
        <v>0.015</v>
      </c>
      <c s="7" r="P512"/>
      <c s="7" r="Q512"/>
      <c s="7" r="R512">
        <f>IF((P512&gt;0),O512,0)</f>
        <v>0</v>
      </c>
      <c t="str" r="S512">
        <f>CONCATENATE(F512,E512)</f>
        <v>NON FTLNON FTL</v>
      </c>
    </row>
    <row r="513">
      <c t="s" s="7" r="A513">
        <v>201</v>
      </c>
      <c s="7" r="B513">
        <v>512</v>
      </c>
      <c s="30" r="C513">
        <v>25</v>
      </c>
      <c t="s" s="30" r="D513">
        <v>147</v>
      </c>
      <c t="s" s="30" r="E513">
        <v>4</v>
      </c>
      <c t="s" s="30" r="F513">
        <v>4</v>
      </c>
      <c t="s" s="30" r="G513">
        <v>203</v>
      </c>
      <c t="str" s="12" r="H513">
        <f>HYPERLINK("http://sofifa.com/en/fifa13winter/player/150341-antonio-rozzi","A. Rozzi")</f>
        <v>A. Rozzi</v>
      </c>
      <c s="30" r="I513">
        <v>67</v>
      </c>
      <c t="s" s="30" r="J513">
        <v>157</v>
      </c>
      <c t="s" s="30" r="K513">
        <v>114</v>
      </c>
      <c t="s" s="30" r="L513">
        <v>160</v>
      </c>
      <c s="30" r="M513">
        <v>18</v>
      </c>
      <c s="26" r="N513">
        <v>1.7</v>
      </c>
      <c s="23" r="O513">
        <v>0.004</v>
      </c>
      <c s="7" r="P513"/>
      <c s="7" r="Q513"/>
      <c s="7" r="R513">
        <f>IF((P513&gt;0),O513,0)</f>
        <v>0</v>
      </c>
      <c t="str" r="S513">
        <f>CONCATENATE(F513,E513)</f>
        <v>NON FTLNON FTL</v>
      </c>
    </row>
    <row r="514">
      <c t="s" s="7" r="A514">
        <v>201</v>
      </c>
      <c s="7" r="B514">
        <v>513</v>
      </c>
      <c s="30" r="C514">
        <v>38</v>
      </c>
      <c t="s" s="30" r="D514">
        <v>147</v>
      </c>
      <c t="s" s="30" r="E514">
        <v>4</v>
      </c>
      <c t="s" s="30" r="F514">
        <v>4</v>
      </c>
      <c t="s" s="30" r="G514">
        <v>203</v>
      </c>
      <c t="str" s="12" r="H514">
        <f>HYPERLINK("http://sofifa.com/en/fifa13winter/player/150411-danilo-cataldi","D. Cataldi")</f>
        <v>D. Cataldi</v>
      </c>
      <c s="30" r="I514">
        <v>59</v>
      </c>
      <c t="s" s="30" r="J514">
        <v>124</v>
      </c>
      <c t="s" s="30" r="K514">
        <v>114</v>
      </c>
      <c t="s" s="30" r="L514">
        <v>122</v>
      </c>
      <c s="30" r="M514">
        <v>18</v>
      </c>
      <c s="26" r="N514">
        <v>0.4</v>
      </c>
      <c s="23" r="O514">
        <v>0.002</v>
      </c>
      <c s="7" r="P514"/>
      <c s="7" r="Q514"/>
      <c s="7" r="R514">
        <f>IF((P514&gt;0),O514,0)</f>
        <v>0</v>
      </c>
      <c t="str" r="S514">
        <f>CONCATENATE(F514,E514)</f>
        <v>NON FTLNON FTL</v>
      </c>
    </row>
    <row r="515">
      <c t="s" s="7" r="A515">
        <v>201</v>
      </c>
      <c s="7" r="B515">
        <v>514</v>
      </c>
      <c s="30" r="C515">
        <v>1</v>
      </c>
      <c t="s" s="30" r="D515">
        <v>106</v>
      </c>
      <c t="s" s="30" r="E515">
        <v>4</v>
      </c>
      <c t="s" s="30" r="F515">
        <v>4</v>
      </c>
      <c t="s" s="30" r="G515">
        <v>204</v>
      </c>
      <c t="str" s="12" r="H515">
        <f>HYPERLINK("http://sofifa.com/en/fifa13winter/player/147081-diego-alves-carreira","Diego Alves")</f>
        <v>Diego Alves</v>
      </c>
      <c s="30" r="I515">
        <v>81</v>
      </c>
      <c t="s" s="30" r="J515">
        <v>106</v>
      </c>
      <c t="s" s="30" r="K515">
        <v>134</v>
      </c>
      <c t="s" s="30" r="L515">
        <v>179</v>
      </c>
      <c s="30" r="M515">
        <v>27</v>
      </c>
      <c s="26" r="N515">
        <v>9.4</v>
      </c>
      <c s="23" r="O515">
        <v>0.04</v>
      </c>
      <c s="7" r="P515"/>
      <c s="7" r="Q515"/>
      <c s="7" r="R515">
        <f>IF((P515&gt;0),O515,0)</f>
        <v>0</v>
      </c>
      <c t="str" r="S515">
        <f>CONCATENATE(F515,E515)</f>
        <v>NON FTLNON FTL</v>
      </c>
    </row>
    <row r="516">
      <c t="s" s="7" r="A516">
        <v>201</v>
      </c>
      <c s="7" r="B516">
        <v>515</v>
      </c>
      <c s="30" r="C516">
        <v>12</v>
      </c>
      <c t="s" s="30" r="D516">
        <v>109</v>
      </c>
      <c t="s" s="30" r="E516">
        <v>4</v>
      </c>
      <c t="s" s="30" r="F516">
        <v>4</v>
      </c>
      <c t="s" s="30" r="G516">
        <v>204</v>
      </c>
      <c t="str" s="12" r="H516">
        <f>HYPERLINK("http://sofifa.com/en/fifa13winter/player/146596-joao-pedro-da-silva-pereira","João Pereira")</f>
        <v>João Pereira</v>
      </c>
      <c s="30" r="I516">
        <v>80</v>
      </c>
      <c t="s" s="30" r="J516">
        <v>109</v>
      </c>
      <c t="s" s="30" r="K516">
        <v>187</v>
      </c>
      <c t="s" s="30" r="L516">
        <v>122</v>
      </c>
      <c s="30" r="M516">
        <v>28</v>
      </c>
      <c s="26" r="N516">
        <v>8.6</v>
      </c>
      <c s="23" r="O516">
        <v>0.031</v>
      </c>
      <c s="7" r="P516"/>
      <c s="7" r="Q516"/>
      <c s="7" r="R516">
        <f>IF((P516&gt;0),O516,0)</f>
        <v>0</v>
      </c>
      <c t="str" r="S516">
        <f>CONCATENATE(F516,E516)</f>
        <v>NON FTLNON FTL</v>
      </c>
    </row>
    <row r="517">
      <c t="s" s="7" r="A517">
        <v>201</v>
      </c>
      <c s="7" r="B517">
        <v>516</v>
      </c>
      <c s="30" r="C517">
        <v>20</v>
      </c>
      <c t="s" s="30" r="D517">
        <v>112</v>
      </c>
      <c t="s" s="30" r="E517">
        <v>4</v>
      </c>
      <c t="s" s="30" r="F517">
        <v>4</v>
      </c>
      <c t="s" s="30" r="G517">
        <v>204</v>
      </c>
      <c t="str" s="12" r="H517">
        <f>HYPERLINK("http://sofifa.com/en/fifa13winter/player/145581-ricardo-miguel-moreira-costa","Ricardo Costa")</f>
        <v>Ricardo Costa</v>
      </c>
      <c s="30" r="I517">
        <v>78</v>
      </c>
      <c t="s" s="30" r="J517">
        <v>113</v>
      </c>
      <c t="s" s="30" r="K517">
        <v>110</v>
      </c>
      <c t="s" s="30" r="L517">
        <v>153</v>
      </c>
      <c s="30" r="M517">
        <v>31</v>
      </c>
      <c s="26" r="N517">
        <v>5.1</v>
      </c>
      <c s="23" r="O517">
        <v>0.022</v>
      </c>
      <c s="7" r="P517"/>
      <c s="7" r="Q517"/>
      <c s="7" r="R517">
        <f>IF((P517&gt;0),O517,0)</f>
        <v>0</v>
      </c>
      <c t="str" r="S517">
        <f>CONCATENATE(F517,E517)</f>
        <v>NON FTLNON FTL</v>
      </c>
    </row>
    <row r="518">
      <c t="s" s="7" r="A518">
        <v>201</v>
      </c>
      <c s="7" r="B518">
        <v>517</v>
      </c>
      <c s="30" r="C518">
        <v>22</v>
      </c>
      <c t="s" s="30" r="D518">
        <v>116</v>
      </c>
      <c t="s" s="30" r="E518">
        <v>4</v>
      </c>
      <c t="s" s="30" r="F518">
        <v>4</v>
      </c>
      <c t="s" s="30" r="G518">
        <v>204</v>
      </c>
      <c t="str" s="12" r="H518">
        <f>HYPERLINK("http://sofifa.com/en/fifa13winter/player/146477-jeremy-mathieu","J. Mathieu")</f>
        <v>J. Mathieu</v>
      </c>
      <c s="30" r="I518">
        <v>77</v>
      </c>
      <c t="s" s="30" r="J518">
        <v>113</v>
      </c>
      <c t="s" s="30" r="K518">
        <v>165</v>
      </c>
      <c t="s" s="30" r="L518">
        <v>193</v>
      </c>
      <c s="30" r="M518">
        <v>28</v>
      </c>
      <c s="26" r="N518">
        <v>5.6</v>
      </c>
      <c s="23" r="O518">
        <v>0.017</v>
      </c>
      <c s="7" r="P518"/>
      <c s="7" r="Q518"/>
      <c s="7" r="R518">
        <f>IF((P518&gt;0),O518,0)</f>
        <v>0</v>
      </c>
      <c t="str" r="S518">
        <f>CONCATENATE(F518,E518)</f>
        <v>NON FTLNON FTL</v>
      </c>
    </row>
    <row r="519">
      <c t="s" s="7" r="A519">
        <v>201</v>
      </c>
      <c s="7" r="B519">
        <v>518</v>
      </c>
      <c s="30" r="C519">
        <v>3</v>
      </c>
      <c t="s" s="30" r="D519">
        <v>117</v>
      </c>
      <c t="s" s="30" r="E519">
        <v>4</v>
      </c>
      <c t="s" s="30" r="F519">
        <v>4</v>
      </c>
      <c t="s" s="30" r="G519">
        <v>204</v>
      </c>
      <c t="str" s="12" r="H519">
        <f>HYPERLINK("http://sofifa.com/en/fifa13winter/player/147894-aly-cissokho","A. Cissokho")</f>
        <v>A. Cissokho</v>
      </c>
      <c s="30" r="I519">
        <v>75</v>
      </c>
      <c t="s" s="30" r="J519">
        <v>117</v>
      </c>
      <c t="s" s="30" r="K519">
        <v>150</v>
      </c>
      <c t="s" s="30" r="L519">
        <v>151</v>
      </c>
      <c s="30" r="M519">
        <v>24</v>
      </c>
      <c s="26" r="N519">
        <v>4</v>
      </c>
      <c s="23" r="O519">
        <v>0.013</v>
      </c>
      <c s="7" r="P519"/>
      <c s="7" r="Q519"/>
      <c s="7" r="R519">
        <f>IF((P519&gt;0),O519,0)</f>
        <v>0</v>
      </c>
      <c t="str" r="S519">
        <f>CONCATENATE(F519,E519)</f>
        <v>NON FTLNON FTL</v>
      </c>
    </row>
    <row r="520">
      <c t="s" s="7" r="A520">
        <v>201</v>
      </c>
      <c s="7" r="B520">
        <v>519</v>
      </c>
      <c s="30" r="C520">
        <v>10</v>
      </c>
      <c t="s" s="30" r="D520">
        <v>186</v>
      </c>
      <c t="s" s="30" r="E520">
        <v>4</v>
      </c>
      <c t="s" s="30" r="F520">
        <v>4</v>
      </c>
      <c t="s" s="30" r="G520">
        <v>204</v>
      </c>
      <c t="str" s="12" r="H520">
        <f>HYPERLINK("http://sofifa.com/en/fifa13winter/player/148182-ever-banega","E. Banega")</f>
        <v>E. Banega</v>
      </c>
      <c s="30" r="I520">
        <v>79</v>
      </c>
      <c t="s" s="30" r="J520">
        <v>162</v>
      </c>
      <c t="s" s="30" r="K520">
        <v>182</v>
      </c>
      <c t="s" s="30" r="L520">
        <v>142</v>
      </c>
      <c s="30" r="M520">
        <v>24</v>
      </c>
      <c s="26" r="N520">
        <v>9.1</v>
      </c>
      <c s="23" r="O520">
        <v>0.022</v>
      </c>
      <c s="7" r="P520"/>
      <c s="7" r="Q520"/>
      <c s="7" r="R520">
        <f>IF((P520&gt;0),O520,0)</f>
        <v>0</v>
      </c>
      <c t="str" r="S520">
        <f>CONCATENATE(F520,E520)</f>
        <v>NON FTLNON FTL</v>
      </c>
    </row>
    <row r="521">
      <c t="s" s="7" r="A521">
        <v>201</v>
      </c>
      <c s="7" r="B521">
        <v>520</v>
      </c>
      <c s="30" r="C521">
        <v>6</v>
      </c>
      <c t="s" s="30" r="D521">
        <v>174</v>
      </c>
      <c t="s" s="30" r="E521">
        <v>4</v>
      </c>
      <c t="s" s="30" r="F521">
        <v>4</v>
      </c>
      <c t="s" s="30" r="G521">
        <v>204</v>
      </c>
      <c t="str" s="12" r="H521">
        <f>HYPERLINK("http://sofifa.com/en/fifa13winter/player/144228-david-albelda-aliques","Albelda")</f>
        <v>Albelda</v>
      </c>
      <c s="30" r="I521">
        <v>75</v>
      </c>
      <c t="s" s="30" r="J521">
        <v>154</v>
      </c>
      <c t="s" s="30" r="K521">
        <v>150</v>
      </c>
      <c t="s" s="30" r="L521">
        <v>138</v>
      </c>
      <c s="30" r="M521">
        <v>34</v>
      </c>
      <c s="26" r="N521">
        <v>2.5</v>
      </c>
      <c s="23" r="O521">
        <v>0.016</v>
      </c>
      <c s="7" r="P521"/>
      <c s="7" r="Q521"/>
      <c s="7" r="R521">
        <f>IF((P521&gt;0),O521,0)</f>
        <v>0</v>
      </c>
      <c t="str" r="S521">
        <f>CONCATENATE(F521,E521)</f>
        <v>NON FTLNON FTL</v>
      </c>
    </row>
    <row r="522">
      <c t="s" s="7" r="A522">
        <v>201</v>
      </c>
      <c s="7" r="B522">
        <v>521</v>
      </c>
      <c s="30" r="C522">
        <v>8</v>
      </c>
      <c t="s" s="30" r="D522">
        <v>120</v>
      </c>
      <c t="s" s="30" r="E522">
        <v>4</v>
      </c>
      <c t="s" s="30" r="F522">
        <v>4</v>
      </c>
      <c t="s" s="30" r="G522">
        <v>204</v>
      </c>
      <c t="str" s="12" r="H522">
        <f>HYPERLINK("http://sofifa.com/en/fifa13winter/player/148727-sofiane-feghouli","S. Feghouli")</f>
        <v>S. Feghouli</v>
      </c>
      <c s="30" r="I522">
        <v>81</v>
      </c>
      <c t="s" s="30" r="J522">
        <v>120</v>
      </c>
      <c t="s" s="30" r="K522">
        <v>118</v>
      </c>
      <c t="s" s="30" r="L522">
        <v>142</v>
      </c>
      <c s="30" r="M522">
        <v>22</v>
      </c>
      <c s="26" r="N522">
        <v>12.9</v>
      </c>
      <c s="23" r="O522">
        <v>0.037</v>
      </c>
      <c s="7" r="P522"/>
      <c s="7" r="Q522"/>
      <c s="7" r="R522">
        <f>IF((P522&gt;0),O522,0)</f>
        <v>0</v>
      </c>
      <c t="str" r="S522">
        <f>CONCATENATE(F522,E522)</f>
        <v>NON FTLNON FTL</v>
      </c>
    </row>
    <row r="523">
      <c t="s" s="7" r="A523">
        <v>201</v>
      </c>
      <c s="7" r="B523">
        <v>522</v>
      </c>
      <c s="30" r="C523">
        <v>17</v>
      </c>
      <c t="s" s="30" r="D523">
        <v>128</v>
      </c>
      <c t="s" s="30" r="E523">
        <v>4</v>
      </c>
      <c t="s" s="30" r="F523">
        <v>4</v>
      </c>
      <c t="s" s="30" r="G523">
        <v>204</v>
      </c>
      <c t="str" s="12" r="H523">
        <f>HYPERLINK("http://sofifa.com/en/fifa13winter/player/147542-andres-guardado","A. Guardado")</f>
        <v>A. Guardado</v>
      </c>
      <c s="30" r="I523">
        <v>76</v>
      </c>
      <c t="s" s="30" r="J523">
        <v>117</v>
      </c>
      <c t="s" s="30" r="K523">
        <v>205</v>
      </c>
      <c t="s" s="30" r="L523">
        <v>163</v>
      </c>
      <c s="30" r="M523">
        <v>25</v>
      </c>
      <c s="26" r="N523">
        <v>4.6</v>
      </c>
      <c s="23" r="O523">
        <v>0.015</v>
      </c>
      <c s="7" r="P523"/>
      <c s="7" r="Q523"/>
      <c s="7" r="R523">
        <f>IF((P523&gt;0),O523,0)</f>
        <v>0</v>
      </c>
      <c t="str" r="S523">
        <f>CONCATENATE(F523,E523)</f>
        <v>NON FTLNON FTL</v>
      </c>
    </row>
    <row r="524">
      <c t="s" s="7" r="A524">
        <v>201</v>
      </c>
      <c s="7" r="B524">
        <v>523</v>
      </c>
      <c s="30" r="C524">
        <v>24</v>
      </c>
      <c t="s" s="30" r="D524">
        <v>162</v>
      </c>
      <c t="s" s="30" r="E524">
        <v>4</v>
      </c>
      <c t="s" s="30" r="F524">
        <v>4</v>
      </c>
      <c t="s" s="30" r="G524">
        <v>204</v>
      </c>
      <c t="str" s="12" r="H524">
        <f>HYPERLINK("http://sofifa.com/en/fifa13winter/player/146915-alberto-costa","A. Costa")</f>
        <v>A. Costa</v>
      </c>
      <c s="30" r="I524">
        <v>80</v>
      </c>
      <c t="s" s="30" r="J524">
        <v>124</v>
      </c>
      <c t="s" s="30" r="K524">
        <v>172</v>
      </c>
      <c t="s" s="30" r="L524">
        <v>151</v>
      </c>
      <c s="30" r="M524">
        <v>27</v>
      </c>
      <c s="26" r="N524">
        <v>10.6</v>
      </c>
      <c s="23" r="O524">
        <v>0.03</v>
      </c>
      <c s="7" r="P524"/>
      <c s="7" r="Q524"/>
      <c s="7" r="R524">
        <f>IF((P524&gt;0),O524,0)</f>
        <v>0</v>
      </c>
      <c t="str" r="S524">
        <f>CONCATENATE(F524,E524)</f>
        <v>NON FTLNON FTL</v>
      </c>
    </row>
    <row r="525">
      <c t="s" s="7" r="A525">
        <v>201</v>
      </c>
      <c s="7" r="B525">
        <v>524</v>
      </c>
      <c s="30" r="C525">
        <v>9</v>
      </c>
      <c t="s" s="30" r="D525">
        <v>129</v>
      </c>
      <c t="s" s="30" r="E525">
        <v>4</v>
      </c>
      <c t="s" s="30" r="F525">
        <v>4</v>
      </c>
      <c t="s" s="30" r="G525">
        <v>204</v>
      </c>
      <c t="str" s="12" r="H525">
        <f>HYPERLINK("http://sofifa.com/en/fifa13winter/player/147053-roberto-soldado-rillo","Soldado")</f>
        <v>Soldado</v>
      </c>
      <c s="30" r="I525">
        <v>84</v>
      </c>
      <c t="s" s="30" r="J525">
        <v>129</v>
      </c>
      <c t="s" s="30" r="K525">
        <v>145</v>
      </c>
      <c t="s" s="30" r="L525">
        <v>146</v>
      </c>
      <c s="30" r="M525">
        <v>27</v>
      </c>
      <c s="26" r="N525">
        <v>21.5</v>
      </c>
      <c s="23" r="O525">
        <v>0.083</v>
      </c>
      <c s="7" r="P525"/>
      <c s="7" r="Q525"/>
      <c s="7" r="R525">
        <f>IF((P525&gt;0),O525,0)</f>
        <v>0</v>
      </c>
      <c t="str" r="S525">
        <f>CONCATENATE(F525,E525)</f>
        <v>NON FTLNON FTL</v>
      </c>
    </row>
    <row r="526">
      <c t="s" s="7" r="A526">
        <v>201</v>
      </c>
      <c s="7" r="B526">
        <v>525</v>
      </c>
      <c s="30" r="C526">
        <v>28</v>
      </c>
      <c t="s" s="30" r="D526">
        <v>136</v>
      </c>
      <c t="s" s="30" r="E526">
        <v>4</v>
      </c>
      <c t="s" s="30" r="F526">
        <v>4</v>
      </c>
      <c t="s" s="30" r="G526">
        <v>204</v>
      </c>
      <c t="str" s="12" r="H526">
        <f>HYPERLINK("http://sofifa.com/en/fifa13winter/player/150194-juan-bernat-velasco","Bernat")</f>
        <v>Bernat</v>
      </c>
      <c s="30" r="I526">
        <v>71</v>
      </c>
      <c t="s" s="30" r="J526">
        <v>128</v>
      </c>
      <c t="s" s="30" r="K526">
        <v>187</v>
      </c>
      <c t="s" s="30" r="L526">
        <v>163</v>
      </c>
      <c s="30" r="M526">
        <v>18</v>
      </c>
      <c s="26" r="N526">
        <v>2.7</v>
      </c>
      <c s="23" r="O526">
        <v>0.006</v>
      </c>
      <c s="7" r="P526"/>
      <c s="7" r="Q526"/>
      <c s="7" r="R526">
        <f>IF((P526&gt;0),O526,0)</f>
        <v>0</v>
      </c>
      <c t="str" r="S526">
        <f>CONCATENATE(F526,E526)</f>
        <v>NON FTLNON FTL</v>
      </c>
    </row>
    <row r="527">
      <c t="s" s="7" r="A527">
        <v>201</v>
      </c>
      <c s="7" r="B527">
        <v>526</v>
      </c>
      <c s="30" r="C527">
        <v>18</v>
      </c>
      <c t="s" s="30" r="D527">
        <v>136</v>
      </c>
      <c t="s" s="30" r="E527">
        <v>4</v>
      </c>
      <c t="s" s="30" r="F527">
        <v>4</v>
      </c>
      <c t="s" s="30" r="G527">
        <v>204</v>
      </c>
      <c t="str" s="12" r="H527">
        <f>HYPERLINK("http://sofifa.com/en/fifa13winter/player/148392-victor-ruiz-torre","Víctor Ruíz")</f>
        <v>Víctor Ruíz</v>
      </c>
      <c s="30" r="I527">
        <v>77</v>
      </c>
      <c t="s" s="30" r="J527">
        <v>113</v>
      </c>
      <c t="s" s="30" r="K527">
        <v>167</v>
      </c>
      <c t="s" s="30" r="L527">
        <v>153</v>
      </c>
      <c s="30" r="M527">
        <v>23</v>
      </c>
      <c s="26" r="N527">
        <v>5.9</v>
      </c>
      <c s="23" r="O527">
        <v>0.016</v>
      </c>
      <c s="7" r="P527"/>
      <c s="7" r="Q527"/>
      <c s="7" r="R527">
        <f>IF((P527&gt;0),O527,0)</f>
        <v>0</v>
      </c>
      <c t="str" r="S527">
        <f>CONCATENATE(F527,E527)</f>
        <v>NON FTLNON FTL</v>
      </c>
    </row>
    <row r="528">
      <c t="s" s="7" r="A528">
        <v>201</v>
      </c>
      <c s="7" r="B528">
        <v>527</v>
      </c>
      <c s="30" r="C528">
        <v>23</v>
      </c>
      <c t="s" s="30" r="D528">
        <v>136</v>
      </c>
      <c t="s" s="30" r="E528">
        <v>4</v>
      </c>
      <c t="s" s="30" r="F528">
        <v>4</v>
      </c>
      <c t="s" s="30" r="G528">
        <v>204</v>
      </c>
      <c t="str" s="12" r="H528">
        <f>HYPERLINK("http://sofifa.com/en/fifa13winter/player/149144-sergio-canales-madrazo","Sergio Canales")</f>
        <v>Sergio Canales</v>
      </c>
      <c s="30" r="I528">
        <v>78</v>
      </c>
      <c t="s" s="30" r="J528">
        <v>162</v>
      </c>
      <c t="s" s="30" r="K528">
        <v>172</v>
      </c>
      <c t="s" s="30" r="L528">
        <v>149</v>
      </c>
      <c s="30" r="M528">
        <v>21</v>
      </c>
      <c s="26" r="N528">
        <v>8.1</v>
      </c>
      <c s="23" r="O528">
        <v>0.017</v>
      </c>
      <c s="7" r="P528"/>
      <c s="7" r="Q528"/>
      <c s="7" r="R528">
        <f>IF((P528&gt;0),O528,0)</f>
        <v>0</v>
      </c>
      <c t="str" r="S528">
        <f>CONCATENATE(F528,E528)</f>
        <v>NON FTLNON FTL</v>
      </c>
    </row>
    <row r="529">
      <c t="s" s="7" r="A529">
        <v>201</v>
      </c>
      <c s="7" r="B529">
        <v>528</v>
      </c>
      <c s="30" r="C529">
        <v>13</v>
      </c>
      <c t="s" s="30" r="D529">
        <v>136</v>
      </c>
      <c t="s" s="30" r="E529">
        <v>4</v>
      </c>
      <c t="s" s="30" r="F529">
        <v>4</v>
      </c>
      <c t="s" s="30" r="G529">
        <v>204</v>
      </c>
      <c t="str" s="12" r="H529">
        <f>HYPERLINK("http://sofifa.com/en/fifa13winter/player/147685-vicente-guaita-panadero","Guaita")</f>
        <v>Guaita</v>
      </c>
      <c s="30" r="I529">
        <v>80</v>
      </c>
      <c t="s" s="30" r="J529">
        <v>106</v>
      </c>
      <c t="s" s="30" r="K529">
        <v>152</v>
      </c>
      <c t="s" s="30" r="L529">
        <v>153</v>
      </c>
      <c s="30" r="M529">
        <v>25</v>
      </c>
      <c s="26" r="N529">
        <v>8.1</v>
      </c>
      <c s="23" r="O529">
        <v>0.03</v>
      </c>
      <c s="7" r="P529"/>
      <c s="7" r="Q529"/>
      <c s="7" r="R529">
        <f>IF((P529&gt;0),O529,0)</f>
        <v>0</v>
      </c>
      <c t="str" r="S529">
        <f>CONCATENATE(F529,E529)</f>
        <v>NON FTLNON FTL</v>
      </c>
    </row>
    <row r="530">
      <c t="s" s="7" r="A530">
        <v>201</v>
      </c>
      <c s="7" r="B530">
        <v>529</v>
      </c>
      <c s="30" r="C530">
        <v>15</v>
      </c>
      <c t="s" s="30" r="D530">
        <v>136</v>
      </c>
      <c t="s" s="30" r="E530">
        <v>4</v>
      </c>
      <c t="s" s="30" r="F530">
        <v>4</v>
      </c>
      <c t="s" s="30" r="G530">
        <v>204</v>
      </c>
      <c t="str" s="12" r="H530">
        <f>HYPERLINK("http://sofifa.com/en/fifa13winter/player/148641-jonathan-viera-ramos","Jonathan Viera")</f>
        <v>Jonathan Viera</v>
      </c>
      <c s="30" r="I530">
        <v>74</v>
      </c>
      <c t="s" s="30" r="J530">
        <v>162</v>
      </c>
      <c t="s" s="30" r="K530">
        <v>195</v>
      </c>
      <c t="s" s="30" r="L530">
        <v>149</v>
      </c>
      <c s="30" r="M530">
        <v>22</v>
      </c>
      <c s="26" r="N530">
        <v>4.3</v>
      </c>
      <c s="23" r="O530">
        <v>0.01</v>
      </c>
      <c s="7" r="P530"/>
      <c s="7" r="Q530"/>
      <c s="7" r="R530">
        <f>IF((P530&gt;0),O530,0)</f>
        <v>0</v>
      </c>
      <c t="str" r="S530">
        <f>CONCATENATE(F530,E530)</f>
        <v>NON FTLNON FTL</v>
      </c>
    </row>
    <row r="531">
      <c t="s" s="7" r="A531">
        <v>201</v>
      </c>
      <c s="7" r="B531">
        <v>530</v>
      </c>
      <c s="30" r="C531">
        <v>21</v>
      </c>
      <c t="s" s="30" r="D531">
        <v>136</v>
      </c>
      <c t="s" s="30" r="E531">
        <v>4</v>
      </c>
      <c t="s" s="30" r="F531">
        <v>4</v>
      </c>
      <c t="s" s="30" r="G531">
        <v>204</v>
      </c>
      <c t="str" s="12" r="H531">
        <f>HYPERLINK("http://sofifa.com/en/fifa13winter/player/148473-daniel-parejo-munoz","Parejo")</f>
        <v>Parejo</v>
      </c>
      <c s="30" r="I531">
        <v>76</v>
      </c>
      <c t="s" s="30" r="J531">
        <v>124</v>
      </c>
      <c t="s" s="30" r="K531">
        <v>114</v>
      </c>
      <c t="s" s="30" r="L531">
        <v>119</v>
      </c>
      <c s="30" r="M531">
        <v>23</v>
      </c>
      <c s="26" r="N531">
        <v>5.1</v>
      </c>
      <c s="23" r="O531">
        <v>0.014</v>
      </c>
      <c s="7" r="P531"/>
      <c s="7" r="Q531"/>
      <c s="7" r="R531">
        <f>IF((P531&gt;0),O531,0)</f>
        <v>0</v>
      </c>
      <c t="str" r="S531">
        <f>CONCATENATE(F531,E531)</f>
        <v>NON FTLNON FTL</v>
      </c>
    </row>
    <row r="532">
      <c t="s" s="7" r="A532">
        <v>201</v>
      </c>
      <c s="7" r="B532">
        <v>531</v>
      </c>
      <c s="30" r="C532">
        <v>36</v>
      </c>
      <c t="s" s="30" r="D532">
        <v>136</v>
      </c>
      <c t="s" s="30" r="E532">
        <v>4</v>
      </c>
      <c t="s" s="30" r="F532">
        <v>4</v>
      </c>
      <c t="s" s="30" r="G532">
        <v>204</v>
      </c>
      <c t="str" s="12" r="H532">
        <f>HYPERLINK("http://sofifa.com/en/fifa13winter/player/150703-jose-luis-gaya-pena","Gayà")</f>
        <v>Gayà</v>
      </c>
      <c s="30" r="I532">
        <v>61</v>
      </c>
      <c t="s" s="30" r="J532">
        <v>117</v>
      </c>
      <c t="s" s="30" r="K532">
        <v>205</v>
      </c>
      <c t="s" s="30" r="L532">
        <v>206</v>
      </c>
      <c s="30" r="M532">
        <v>17</v>
      </c>
      <c s="26" r="N532">
        <v>0.6</v>
      </c>
      <c s="23" r="O532">
        <v>0.003</v>
      </c>
      <c s="7" r="P532"/>
      <c s="7" r="Q532"/>
      <c s="7" r="R532">
        <f>IF((P532&gt;0),O532,0)</f>
        <v>0</v>
      </c>
      <c t="str" r="S532">
        <f>CONCATENATE(F532,E532)</f>
        <v>NON FTLNON FTL</v>
      </c>
    </row>
    <row r="533">
      <c t="s" s="7" r="A533">
        <v>201</v>
      </c>
      <c s="7" r="B533">
        <v>532</v>
      </c>
      <c s="30" r="C533">
        <v>11</v>
      </c>
      <c t="s" s="30" r="D533">
        <v>136</v>
      </c>
      <c t="s" s="30" r="E533">
        <v>4</v>
      </c>
      <c t="s" s="30" r="F533">
        <v>4</v>
      </c>
      <c t="s" s="30" r="G533">
        <v>204</v>
      </c>
      <c t="str" s="12" r="H533">
        <f>HYPERLINK("http://sofifa.com/en/fifa13winter/player/148457-pablo-piatti","P. Piatti")</f>
        <v>P. Piatti</v>
      </c>
      <c s="30" r="I533">
        <v>73</v>
      </c>
      <c t="s" s="30" r="J533">
        <v>128</v>
      </c>
      <c t="s" s="30" r="K533">
        <v>207</v>
      </c>
      <c t="s" s="30" r="L533">
        <v>168</v>
      </c>
      <c s="30" r="M533">
        <v>23</v>
      </c>
      <c s="26" r="N533">
        <v>3.3</v>
      </c>
      <c s="23" r="O533">
        <v>0.009</v>
      </c>
      <c s="7" r="P533"/>
      <c s="7" r="Q533"/>
      <c s="7" r="R533">
        <f>IF((P533&gt;0),O533,0)</f>
        <v>0</v>
      </c>
      <c t="str" r="S533">
        <f>CONCATENATE(F533,E533)</f>
        <v>NON FTLNON FTL</v>
      </c>
    </row>
    <row r="534">
      <c t="s" s="7" r="A534">
        <v>201</v>
      </c>
      <c s="7" r="B534">
        <v>533</v>
      </c>
      <c s="30" r="C534">
        <v>4</v>
      </c>
      <c t="s" s="30" r="D534">
        <v>136</v>
      </c>
      <c t="s" s="30" r="E534">
        <v>4</v>
      </c>
      <c t="s" s="30" r="F534">
        <v>4</v>
      </c>
      <c t="s" s="30" r="G534">
        <v>204</v>
      </c>
      <c t="str" s="12" r="H534">
        <f>HYPERLINK("http://sofifa.com/en/fifa13winter/player/147267-adil-rami","A. Rami")</f>
        <v>A. Rami</v>
      </c>
      <c s="30" r="I534">
        <v>83</v>
      </c>
      <c t="s" s="30" r="J534">
        <v>113</v>
      </c>
      <c t="s" s="30" r="K534">
        <v>152</v>
      </c>
      <c t="s" s="30" r="L534">
        <v>175</v>
      </c>
      <c s="30" r="M534">
        <v>26</v>
      </c>
      <c s="26" r="N534">
        <v>16.3</v>
      </c>
      <c s="23" r="O534">
        <v>0.068</v>
      </c>
      <c s="7" r="P534"/>
      <c s="7" r="Q534"/>
      <c s="7" r="R534">
        <f>IF((P534&gt;0),O534,0)</f>
        <v>0</v>
      </c>
      <c t="str" r="S534">
        <f>CONCATENATE(F534,E534)</f>
        <v>NON FTLNON FTL</v>
      </c>
    </row>
    <row r="535">
      <c t="s" s="7" r="A535">
        <v>201</v>
      </c>
      <c s="7" r="B535">
        <v>534</v>
      </c>
      <c s="30" r="C535">
        <v>16</v>
      </c>
      <c t="s" s="30" r="D535">
        <v>136</v>
      </c>
      <c t="s" s="30" r="E535">
        <v>4</v>
      </c>
      <c t="s" s="30" r="F535">
        <v>4</v>
      </c>
      <c t="s" s="30" r="G535">
        <v>204</v>
      </c>
      <c t="str" s="12" r="H535">
        <f>HYPERLINK("http://sofifa.com/en/fifa13winter/player/146507-nelson-haedo-valdez","N. Valdez")</f>
        <v>N. Valdez</v>
      </c>
      <c s="30" r="I535">
        <v>77</v>
      </c>
      <c t="s" s="30" r="J535">
        <v>129</v>
      </c>
      <c t="s" s="30" r="K535">
        <v>118</v>
      </c>
      <c t="s" s="30" r="L535">
        <v>137</v>
      </c>
      <c s="30" r="M535">
        <v>28</v>
      </c>
      <c s="26" r="N535">
        <v>6.4</v>
      </c>
      <c s="23" r="O535">
        <v>0.017</v>
      </c>
      <c s="7" r="P535"/>
      <c s="7" r="Q535"/>
      <c s="7" r="R535">
        <f>IF((P535&gt;0),O535,0)</f>
        <v>0</v>
      </c>
      <c t="str" r="S535">
        <f>CONCATENATE(F535,E535)</f>
        <v>NON FTLNON FTL</v>
      </c>
    </row>
    <row r="536">
      <c t="s" s="7" r="A536">
        <v>201</v>
      </c>
      <c s="7" r="B536">
        <v>535</v>
      </c>
      <c s="30" r="C536">
        <v>7</v>
      </c>
      <c t="s" s="30" r="D536">
        <v>136</v>
      </c>
      <c t="s" s="30" r="E536">
        <v>4</v>
      </c>
      <c t="s" s="30" r="F536">
        <v>4</v>
      </c>
      <c t="s" s="30" r="G536">
        <v>204</v>
      </c>
      <c t="str" s="12" r="H536">
        <f>HYPERLINK("http://sofifa.com/en/fifa13winter/player/146632-jonas-goncalves-oliveira","Jonas")</f>
        <v>Jonas</v>
      </c>
      <c s="30" r="I536">
        <v>81</v>
      </c>
      <c t="s" s="30" r="J536">
        <v>171</v>
      </c>
      <c t="s" s="30" r="K536">
        <v>150</v>
      </c>
      <c t="s" s="30" r="L536">
        <v>119</v>
      </c>
      <c s="30" r="M536">
        <v>28</v>
      </c>
      <c s="26" r="N536">
        <v>13.1</v>
      </c>
      <c s="23" r="O536">
        <v>0.042</v>
      </c>
      <c s="7" r="P536"/>
      <c s="7" r="Q536"/>
      <c s="7" r="R536">
        <f>IF((P536&gt;0),O536,0)</f>
        <v>0</v>
      </c>
      <c t="str" r="S536">
        <f>CONCATENATE(F536,E536)</f>
        <v>NON FTLNON FTL</v>
      </c>
    </row>
    <row r="537">
      <c t="s" s="7" r="A537">
        <v>201</v>
      </c>
      <c s="7" r="B537">
        <v>536</v>
      </c>
      <c s="30" r="C537">
        <v>14</v>
      </c>
      <c t="s" s="30" r="D537">
        <v>136</v>
      </c>
      <c t="s" s="30" r="E537">
        <v>4</v>
      </c>
      <c t="s" s="30" r="F537">
        <v>4</v>
      </c>
      <c t="s" s="30" r="G537">
        <v>204</v>
      </c>
      <c t="str" s="12" r="H537">
        <f>HYPERLINK("http://sofifa.com/en/fifa13winter/player/147799-antonio-barragan-fernandez","Barragán")</f>
        <v>Barragán</v>
      </c>
      <c s="30" r="I537">
        <v>71</v>
      </c>
      <c t="s" s="30" r="J537">
        <v>109</v>
      </c>
      <c t="s" s="30" r="K537">
        <v>155</v>
      </c>
      <c t="s" s="30" r="L537">
        <v>108</v>
      </c>
      <c s="30" r="M537">
        <v>25</v>
      </c>
      <c s="26" r="N537">
        <v>2.1</v>
      </c>
      <c s="23" r="O537">
        <v>0.008</v>
      </c>
      <c s="7" r="P537"/>
      <c s="7" r="Q537"/>
      <c s="7" r="R537">
        <f>IF((P537&gt;0),O537,0)</f>
        <v>0</v>
      </c>
      <c t="str" r="S537">
        <f>CONCATENATE(F537,E537)</f>
        <v>NON FTLNON FTL</v>
      </c>
    </row>
    <row r="538">
      <c t="s" s="7" r="A538">
        <v>201</v>
      </c>
      <c s="7" r="B538">
        <v>537</v>
      </c>
      <c s="30" r="C538">
        <v>33</v>
      </c>
      <c t="s" s="30" r="D538">
        <v>147</v>
      </c>
      <c t="s" s="30" r="E538">
        <v>4</v>
      </c>
      <c t="s" s="30" r="F538">
        <v>4</v>
      </c>
      <c t="s" s="30" r="G538">
        <v>204</v>
      </c>
      <c t="str" s="12" r="H538">
        <f>HYPERLINK("http://sofifa.com/en/fifa13winter/player/150695-salvador-ruiz-rodriguez","Salva Ruíz")</f>
        <v>Salva Ruíz</v>
      </c>
      <c s="30" r="I538">
        <v>59</v>
      </c>
      <c t="s" s="30" r="J538">
        <v>117</v>
      </c>
      <c t="s" s="30" r="K538">
        <v>145</v>
      </c>
      <c t="s" s="30" r="L538">
        <v>119</v>
      </c>
      <c s="30" r="M538">
        <v>17</v>
      </c>
      <c s="26" r="N538">
        <v>0.4</v>
      </c>
      <c s="23" r="O538">
        <v>0.002</v>
      </c>
      <c s="7" r="P538"/>
      <c s="7" r="Q538"/>
      <c s="7" r="R538">
        <f>IF((P538&gt;0),O538,0)</f>
        <v>0</v>
      </c>
      <c t="str" r="S538">
        <f>CONCATENATE(F538,E538)</f>
        <v>NON FTLNON FTL</v>
      </c>
    </row>
    <row r="539">
      <c t="s" s="7" r="A539">
        <v>201</v>
      </c>
      <c s="7" r="B539">
        <v>538</v>
      </c>
      <c s="30" r="C539">
        <v>31</v>
      </c>
      <c t="s" s="30" r="D539">
        <v>147</v>
      </c>
      <c t="s" s="30" r="E539">
        <v>4</v>
      </c>
      <c t="s" s="30" r="F539">
        <v>4</v>
      </c>
      <c t="s" s="30" r="G539">
        <v>204</v>
      </c>
      <c t="str" s="12" r="H539">
        <f>HYPERLINK("http://sofifa.com/en/fifa13winter/player/149943-antony-lozano","A. Lozano")</f>
        <v>A. Lozano</v>
      </c>
      <c s="30" r="I539">
        <v>66</v>
      </c>
      <c t="s" s="30" r="J539">
        <v>129</v>
      </c>
      <c t="s" s="30" r="K539">
        <v>143</v>
      </c>
      <c t="s" s="30" r="L539">
        <v>151</v>
      </c>
      <c s="30" r="M539">
        <v>19</v>
      </c>
      <c s="26" r="N539">
        <v>1.6</v>
      </c>
      <c s="23" r="O539">
        <v>0.004</v>
      </c>
      <c s="7" r="P539"/>
      <c s="7" r="Q539"/>
      <c s="7" r="R539">
        <f>IF((P539&gt;0),O539,0)</f>
        <v>0</v>
      </c>
      <c t="str" r="S539">
        <f>CONCATENATE(F539,E539)</f>
        <v>NON FTLNON FTL</v>
      </c>
    </row>
    <row r="540">
      <c t="s" s="7" r="A540">
        <v>201</v>
      </c>
      <c s="7" r="B540">
        <v>539</v>
      </c>
      <c s="30" r="C540">
        <v>32</v>
      </c>
      <c t="s" s="30" r="D540">
        <v>147</v>
      </c>
      <c t="s" s="30" r="E540">
        <v>4</v>
      </c>
      <c t="s" s="30" r="F540">
        <v>4</v>
      </c>
      <c t="s" s="30" r="G540">
        <v>204</v>
      </c>
      <c t="str" s="12" r="H540">
        <f>HYPERLINK("http://sofifa.com/en/fifa13winter/player/149604-cristian-portugues-manzanera","Portu")</f>
        <v>Portu</v>
      </c>
      <c s="30" r="I540">
        <v>64</v>
      </c>
      <c t="s" s="30" r="J540">
        <v>124</v>
      </c>
      <c t="s" s="30" r="K540">
        <v>118</v>
      </c>
      <c t="s" s="30" r="L540">
        <v>122</v>
      </c>
      <c s="30" r="M540">
        <v>20</v>
      </c>
      <c s="26" r="N540">
        <v>1</v>
      </c>
      <c s="23" r="O540">
        <v>0.004</v>
      </c>
      <c s="7" r="P540"/>
      <c s="7" r="Q540"/>
      <c s="7" r="R540">
        <f>IF((P540&gt;0),O540,0)</f>
        <v>0</v>
      </c>
      <c t="str" r="S540">
        <f>CONCATENATE(F540,E540)</f>
        <v>NON FTLNON FTL</v>
      </c>
    </row>
    <row r="541">
      <c t="s" s="7" r="A541">
        <v>201</v>
      </c>
      <c s="7" r="B541">
        <v>540</v>
      </c>
      <c s="30" r="C541">
        <v>39</v>
      </c>
      <c t="s" s="30" r="D541">
        <v>147</v>
      </c>
      <c t="s" s="30" r="E541">
        <v>4</v>
      </c>
      <c t="s" s="30" r="F541">
        <v>4</v>
      </c>
      <c t="s" s="30" r="G541">
        <v>204</v>
      </c>
      <c t="str" s="12" r="H541">
        <f>HYPERLINK("http://sofifa.com/en/fifa13winter/player/148915-alex-quintanilla-u","Álex Quintanilla")</f>
        <v>Álex Quintanilla</v>
      </c>
      <c s="30" r="I541">
        <v>64</v>
      </c>
      <c t="s" s="30" r="J541">
        <v>113</v>
      </c>
      <c t="s" s="30" r="K541">
        <v>110</v>
      </c>
      <c t="s" s="30" r="L541">
        <v>158</v>
      </c>
      <c s="30" r="M541">
        <v>22</v>
      </c>
      <c s="26" r="N541">
        <v>0.9</v>
      </c>
      <c s="23" r="O541">
        <v>0.004</v>
      </c>
      <c s="7" r="P541"/>
      <c s="7" r="Q541"/>
      <c s="7" r="R541">
        <f>IF((P541&gt;0),O541,0)</f>
        <v>0</v>
      </c>
      <c t="str" r="S541">
        <f>CONCATENATE(F541,E541)</f>
        <v>NON FTLNON FTL</v>
      </c>
    </row>
    <row r="542">
      <c t="s" s="7" r="A542">
        <v>201</v>
      </c>
      <c s="7" r="B542">
        <v>541</v>
      </c>
      <c s="30" r="C542">
        <v>34</v>
      </c>
      <c t="s" s="30" r="D542">
        <v>147</v>
      </c>
      <c t="s" s="30" r="E542">
        <v>4</v>
      </c>
      <c t="s" s="30" r="F542">
        <v>4</v>
      </c>
      <c t="s" s="30" r="G542">
        <v>204</v>
      </c>
      <c t="str" s="12" r="H542">
        <f>HYPERLINK("http://sofifa.com/en/fifa13winter/player/149421-manuel-molina-valero","Molina")</f>
        <v>Molina</v>
      </c>
      <c s="30" r="I542">
        <v>63</v>
      </c>
      <c t="s" s="30" r="J542">
        <v>124</v>
      </c>
      <c t="s" s="30" r="K542">
        <v>118</v>
      </c>
      <c t="s" s="30" r="L542">
        <v>146</v>
      </c>
      <c s="30" r="M542">
        <v>20</v>
      </c>
      <c s="26" r="N542">
        <v>0.9</v>
      </c>
      <c s="23" r="O542">
        <v>0.003</v>
      </c>
      <c s="7" r="P542"/>
      <c s="7" r="Q542"/>
      <c s="7" r="R542">
        <f>IF((P542&gt;0),O542,0)</f>
        <v>0</v>
      </c>
      <c t="str" r="S542">
        <f>CONCATENATE(F542,E542)</f>
        <v>NON FTLNON FTL</v>
      </c>
    </row>
    <row r="543">
      <c t="s" s="7" r="A543">
        <v>201</v>
      </c>
      <c s="7" r="B543">
        <v>542</v>
      </c>
      <c s="30" r="C543">
        <v>37</v>
      </c>
      <c t="s" s="30" r="D543">
        <v>147</v>
      </c>
      <c t="s" s="30" r="E543">
        <v>4</v>
      </c>
      <c t="s" s="30" r="F543">
        <v>4</v>
      </c>
      <c t="s" s="30" r="G543">
        <v>204</v>
      </c>
      <c t="str" s="12" r="H543">
        <f>HYPERLINK("http://sofifa.com/en/fifa13winter/player/148844-carlos-javier-delgado-rodriguez","Carlos Delgado")</f>
        <v>Carlos Delgado</v>
      </c>
      <c s="30" r="I543">
        <v>63</v>
      </c>
      <c t="s" s="30" r="J543">
        <v>113</v>
      </c>
      <c t="s" s="30" r="K543">
        <v>150</v>
      </c>
      <c t="s" s="30" r="L543">
        <v>137</v>
      </c>
      <c s="30" r="M543">
        <v>22</v>
      </c>
      <c s="26" r="N543">
        <v>0.8</v>
      </c>
      <c s="23" r="O543">
        <v>0.004</v>
      </c>
      <c s="7" r="P543"/>
      <c s="7" r="Q543"/>
      <c s="7" r="R543">
        <f>IF((P543&gt;0),O543,0)</f>
        <v>0</v>
      </c>
      <c t="str" r="S543">
        <f>CONCATENATE(F543,E543)</f>
        <v>NON FTLNON FTL</v>
      </c>
    </row>
    <row r="544">
      <c t="s" s="7" r="A544">
        <v>201</v>
      </c>
      <c s="7" r="B544">
        <v>543</v>
      </c>
      <c s="30" r="C544">
        <v>29</v>
      </c>
      <c t="s" s="30" r="D544">
        <v>147</v>
      </c>
      <c t="s" s="30" r="E544">
        <v>4</v>
      </c>
      <c t="s" s="30" r="F544">
        <v>4</v>
      </c>
      <c t="s" s="30" r="G544">
        <v>204</v>
      </c>
      <c t="str" s="12" r="H544">
        <f>HYPERLINK("http://sofifa.com/en/fifa13winter/player/149538-albert-dalmau-martinez","Dalmau")</f>
        <v>Dalmau</v>
      </c>
      <c s="30" r="I544">
        <v>61</v>
      </c>
      <c t="s" s="30" r="J544">
        <v>109</v>
      </c>
      <c t="s" s="30" r="K544">
        <v>132</v>
      </c>
      <c t="s" s="30" r="L544">
        <v>161</v>
      </c>
      <c s="30" r="M544">
        <v>20</v>
      </c>
      <c s="26" r="N544">
        <v>0.6</v>
      </c>
      <c s="23" r="O544">
        <v>0.003</v>
      </c>
      <c s="7" r="P544"/>
      <c s="7" r="Q544"/>
      <c s="7" r="R544">
        <f>IF((P544&gt;0),O544,0)</f>
        <v>0</v>
      </c>
      <c t="str" r="S544">
        <f>CONCATENATE(F544,E544)</f>
        <v>NON FTLNON FTL</v>
      </c>
    </row>
    <row r="545">
      <c t="s" s="7" r="A545">
        <v>201</v>
      </c>
      <c s="7" r="B545">
        <v>544</v>
      </c>
      <c s="30" r="C545">
        <v>30</v>
      </c>
      <c t="s" s="30" r="D545">
        <v>147</v>
      </c>
      <c t="s" s="30" r="E545">
        <v>4</v>
      </c>
      <c t="s" s="30" r="F545">
        <v>4</v>
      </c>
      <c t="s" s="30" r="G545">
        <v>204</v>
      </c>
      <c t="str" s="12" r="H545">
        <f>HYPERLINK("http://sofifa.com/en/fifa13winter/player/148570-erixon-danso","E. Danso")</f>
        <v>E. Danso</v>
      </c>
      <c s="30" r="I545">
        <v>64</v>
      </c>
      <c t="s" s="30" r="J545">
        <v>170</v>
      </c>
      <c t="s" s="30" r="K545">
        <v>172</v>
      </c>
      <c t="s" s="30" r="L545">
        <v>151</v>
      </c>
      <c s="30" r="M545">
        <v>23</v>
      </c>
      <c s="26" r="N545">
        <v>1</v>
      </c>
      <c s="23" r="O545">
        <v>0.004</v>
      </c>
      <c s="7" r="P545"/>
      <c s="7" r="Q545"/>
      <c s="7" r="R545">
        <f>IF((P545&gt;0),O545,0)</f>
        <v>0</v>
      </c>
      <c t="str" r="S545">
        <f>CONCATENATE(F545,E545)</f>
        <v>NON FTLNON FTL</v>
      </c>
    </row>
    <row r="546">
      <c t="s" s="7" r="A546">
        <v>201</v>
      </c>
      <c s="7" r="B546">
        <v>545</v>
      </c>
      <c s="30" r="C546">
        <v>38</v>
      </c>
      <c t="s" s="30" r="D546">
        <v>147</v>
      </c>
      <c t="s" s="30" r="E546">
        <v>4</v>
      </c>
      <c t="s" s="30" r="F546">
        <v>4</v>
      </c>
      <c t="s" s="30" r="G546">
        <v>204</v>
      </c>
      <c t="str" s="12" r="H546">
        <f>HYPERLINK("http://sofifa.com/en/fifa13winter/player/148165-armiche-ortega-medina","Armiche")</f>
        <v>Armiche</v>
      </c>
      <c s="30" r="I546">
        <v>63</v>
      </c>
      <c t="s" s="30" r="J546">
        <v>120</v>
      </c>
      <c t="s" s="30" r="K546">
        <v>172</v>
      </c>
      <c t="s" s="30" r="L546">
        <v>122</v>
      </c>
      <c s="30" r="M546">
        <v>24</v>
      </c>
      <c s="26" r="N546">
        <v>0.8</v>
      </c>
      <c s="23" r="O546">
        <v>0.004</v>
      </c>
      <c s="7" r="P546"/>
      <c s="7" r="Q546"/>
      <c s="7" r="R546">
        <f>IF((P546&gt;0),O546,0)</f>
        <v>0</v>
      </c>
      <c t="str" r="S546">
        <f>CONCATENATE(F546,E546)</f>
        <v>NON FTLNON FTL</v>
      </c>
    </row>
    <row r="547">
      <c t="s" s="7" r="A547">
        <v>201</v>
      </c>
      <c s="7" r="B547">
        <v>546</v>
      </c>
      <c s="30" r="C547">
        <v>26</v>
      </c>
      <c t="s" s="30" r="D547">
        <v>147</v>
      </c>
      <c t="s" s="30" r="E547">
        <v>4</v>
      </c>
      <c t="s" s="30" r="F547">
        <v>4</v>
      </c>
      <c t="s" s="30" r="G547">
        <v>204</v>
      </c>
      <c t="str" s="12" r="H547">
        <f>HYPERLINK("http://sofifa.com/en/fifa13winter/player/148011-felipe-ramos-sanchez","Felipe Ramos")</f>
        <v>Felipe Ramos</v>
      </c>
      <c s="30" r="I547">
        <v>62</v>
      </c>
      <c t="s" s="30" r="J547">
        <v>106</v>
      </c>
      <c t="s" s="30" r="K547">
        <v>155</v>
      </c>
      <c t="s" s="30" r="L547">
        <v>151</v>
      </c>
      <c s="30" r="M547">
        <v>24</v>
      </c>
      <c s="26" r="N547">
        <v>0.6</v>
      </c>
      <c s="23" r="O547">
        <v>0.004</v>
      </c>
      <c s="7" r="P547"/>
      <c s="7" r="Q547"/>
      <c s="7" r="R547">
        <f>IF((P547&gt;0),O547,0)</f>
        <v>0</v>
      </c>
      <c t="str" r="S547">
        <f>CONCATENATE(F547,E547)</f>
        <v>NON FTLNON FTL</v>
      </c>
    </row>
    <row r="548">
      <c t="s" s="7" r="A548">
        <v>201</v>
      </c>
      <c s="7" r="B548">
        <v>547</v>
      </c>
      <c s="30" r="C548">
        <v>16</v>
      </c>
      <c t="s" s="30" r="D548">
        <v>106</v>
      </c>
      <c t="s" s="30" r="E548">
        <v>4</v>
      </c>
      <c t="s" s="30" r="F548">
        <v>4</v>
      </c>
      <c t="s" s="30" r="G548">
        <v>208</v>
      </c>
      <c t="str" s="12" r="H548">
        <f>HYPERLINK("http://sofifa.com/en/fifa13winter/player/144777-vyacheslav-malafeev","V. Malafeev")</f>
        <v>V. Malafeev</v>
      </c>
      <c s="30" r="I548">
        <v>80</v>
      </c>
      <c t="s" s="30" r="J548">
        <v>106</v>
      </c>
      <c t="s" s="30" r="K548">
        <v>132</v>
      </c>
      <c t="s" s="30" r="L548">
        <v>137</v>
      </c>
      <c s="30" r="M548">
        <v>33</v>
      </c>
      <c s="26" r="N548">
        <v>5.6</v>
      </c>
      <c s="23" r="O548">
        <v>0.037</v>
      </c>
      <c s="7" r="P548"/>
      <c s="7" r="Q548"/>
      <c s="7" r="R548">
        <f>IF((P548&gt;0),O548,0)</f>
        <v>0</v>
      </c>
      <c t="str" r="S548">
        <f>CONCATENATE(F548,E548)</f>
        <v>NON FTLNON FTL</v>
      </c>
    </row>
    <row r="549">
      <c t="s" s="7" r="A549">
        <v>201</v>
      </c>
      <c s="7" r="B549">
        <v>548</v>
      </c>
      <c s="30" r="C549">
        <v>2</v>
      </c>
      <c t="s" s="30" r="D549">
        <v>109</v>
      </c>
      <c t="s" s="30" r="E549">
        <v>4</v>
      </c>
      <c t="s" s="30" r="F549">
        <v>4</v>
      </c>
      <c t="s" s="30" r="G549">
        <v>208</v>
      </c>
      <c t="str" s="12" r="H549">
        <f>HYPERLINK("http://sofifa.com/en/fifa13winter/player/146081-alexandr-anyukov","A. Anyukov")</f>
        <v>A. Anyukov</v>
      </c>
      <c s="30" r="I549">
        <v>80</v>
      </c>
      <c t="s" s="30" r="J549">
        <v>109</v>
      </c>
      <c t="s" s="30" r="K549">
        <v>118</v>
      </c>
      <c t="s" s="30" r="L549">
        <v>163</v>
      </c>
      <c s="30" r="M549">
        <v>29</v>
      </c>
      <c s="26" r="N549">
        <v>8.7</v>
      </c>
      <c s="23" r="O549">
        <v>0.032</v>
      </c>
      <c s="7" r="P549"/>
      <c s="7" r="Q549"/>
      <c s="7" r="R549">
        <f>IF((P549&gt;0),O549,0)</f>
        <v>0</v>
      </c>
      <c t="str" r="S549">
        <f>CONCATENATE(F549,E549)</f>
        <v>NON FTLNON FTL</v>
      </c>
    </row>
    <row r="550">
      <c t="s" s="7" r="A550">
        <v>201</v>
      </c>
      <c s="7" r="B550">
        <v>549</v>
      </c>
      <c s="30" r="C550">
        <v>13</v>
      </c>
      <c t="s" s="30" r="D550">
        <v>112</v>
      </c>
      <c t="s" s="30" r="E550">
        <v>4</v>
      </c>
      <c t="s" s="30" r="F550">
        <v>4</v>
      </c>
      <c t="s" s="30" r="G550">
        <v>208</v>
      </c>
      <c t="str" s="12" r="H550">
        <f>HYPERLINK("http://sofifa.com/en/fifa13winter/player/148148-luis-carlos-novo-neto","Luís Neto")</f>
        <v>Luís Neto</v>
      </c>
      <c s="30" r="I550">
        <v>77</v>
      </c>
      <c t="s" s="30" r="J550">
        <v>113</v>
      </c>
      <c t="s" s="30" r="K550">
        <v>155</v>
      </c>
      <c t="s" s="30" r="L550">
        <v>142</v>
      </c>
      <c s="30" r="M550">
        <v>24</v>
      </c>
      <c s="26" r="N550">
        <v>5.7</v>
      </c>
      <c s="23" r="O550">
        <v>0.017</v>
      </c>
      <c s="7" r="P550"/>
      <c s="7" r="Q550"/>
      <c s="7" r="R550">
        <f>IF((P550&gt;0),O550,0)</f>
        <v>0</v>
      </c>
      <c t="str" r="S550">
        <f>CONCATENATE(F550,E550)</f>
        <v>NON FTLNON FTL</v>
      </c>
    </row>
    <row r="551">
      <c t="s" s="7" r="A551">
        <v>201</v>
      </c>
      <c s="7" r="B551">
        <v>550</v>
      </c>
      <c s="30" r="C551">
        <v>3</v>
      </c>
      <c t="s" s="30" r="D551">
        <v>116</v>
      </c>
      <c t="s" s="30" r="E551">
        <v>4</v>
      </c>
      <c t="s" s="30" r="F551">
        <v>4</v>
      </c>
      <c t="s" s="30" r="G551">
        <v>208</v>
      </c>
      <c t="str" s="12" r="H551">
        <f>HYPERLINK("http://sofifa.com/en/fifa13winter/player/145776-bruno-eduardo-refuge-alves","Bruno Alves")</f>
        <v>Bruno Alves</v>
      </c>
      <c s="30" r="I551">
        <v>81</v>
      </c>
      <c t="s" s="30" r="J551">
        <v>113</v>
      </c>
      <c t="s" s="30" r="K551">
        <v>169</v>
      </c>
      <c t="s" s="30" r="L551">
        <v>108</v>
      </c>
      <c s="30" r="M551">
        <v>30</v>
      </c>
      <c s="26" r="N551">
        <v>9.7</v>
      </c>
      <c s="23" r="O551">
        <v>0.045</v>
      </c>
      <c s="7" r="P551"/>
      <c s="7" r="Q551"/>
      <c s="7" r="R551">
        <f>IF((P551&gt;0),O551,0)</f>
        <v>0</v>
      </c>
      <c t="str" r="S551">
        <f>CONCATENATE(F551,E551)</f>
        <v>NON FTLNON FTL</v>
      </c>
    </row>
    <row r="552">
      <c t="s" s="7" r="A552">
        <v>201</v>
      </c>
      <c s="7" r="B552">
        <v>551</v>
      </c>
      <c s="30" r="C552">
        <v>14</v>
      </c>
      <c t="s" s="30" r="D552">
        <v>117</v>
      </c>
      <c t="s" s="30" r="E552">
        <v>4</v>
      </c>
      <c t="s" s="30" r="F552">
        <v>4</v>
      </c>
      <c t="s" s="30" r="G552">
        <v>208</v>
      </c>
      <c t="str" s="12" r="H552">
        <f>HYPERLINK("http://sofifa.com/en/fifa13winter/player/147166-tomas-hubocan","T. Hubočan")</f>
        <v>T. Hubočan</v>
      </c>
      <c s="30" r="I552">
        <v>76</v>
      </c>
      <c t="s" s="30" r="J552">
        <v>113</v>
      </c>
      <c t="s" s="30" r="K552">
        <v>110</v>
      </c>
      <c t="s" s="30" r="L552">
        <v>160</v>
      </c>
      <c s="30" r="M552">
        <v>26</v>
      </c>
      <c s="26" r="N552">
        <v>4.8</v>
      </c>
      <c s="23" r="O552">
        <v>0.015</v>
      </c>
      <c s="7" r="P552"/>
      <c s="7" r="Q552"/>
      <c s="7" r="R552">
        <f>IF((P552&gt;0),O552,0)</f>
        <v>0</v>
      </c>
      <c t="str" r="S552">
        <f>CONCATENATE(F552,E552)</f>
        <v>NON FTLNON FTL</v>
      </c>
    </row>
    <row r="553">
      <c t="s" s="7" r="A553">
        <v>201</v>
      </c>
      <c s="7" r="B553">
        <v>552</v>
      </c>
      <c s="30" r="C553">
        <v>27</v>
      </c>
      <c t="s" s="30" r="D553">
        <v>154</v>
      </c>
      <c t="s" s="30" r="E553">
        <v>4</v>
      </c>
      <c t="s" s="30" r="F553">
        <v>4</v>
      </c>
      <c t="s" s="30" r="G553">
        <v>208</v>
      </c>
      <c t="str" s="12" r="H553">
        <f>HYPERLINK("http://sofifa.com/en/fifa13winter/player/146678-igor-denisov","I. Denisov")</f>
        <v>I. Denisov</v>
      </c>
      <c s="30" r="I553">
        <v>81</v>
      </c>
      <c t="s" s="30" r="J553">
        <v>154</v>
      </c>
      <c t="s" s="30" r="K553">
        <v>172</v>
      </c>
      <c t="s" s="30" r="L553">
        <v>122</v>
      </c>
      <c s="30" r="M553">
        <v>28</v>
      </c>
      <c s="26" r="N553">
        <v>10.3</v>
      </c>
      <c s="23" r="O553">
        <v>0.042</v>
      </c>
      <c s="7" r="P553"/>
      <c s="7" r="Q553"/>
      <c s="7" r="R553">
        <f>IF((P553&gt;0),O553,0)</f>
        <v>0</v>
      </c>
      <c t="str" r="S553">
        <f>CONCATENATE(F553,E553)</f>
        <v>NON FTLNON FTL</v>
      </c>
    </row>
    <row r="554">
      <c t="s" s="7" r="A554">
        <v>201</v>
      </c>
      <c s="7" r="B554">
        <v>553</v>
      </c>
      <c s="30" r="C554">
        <v>28</v>
      </c>
      <c t="s" s="30" r="D554">
        <v>123</v>
      </c>
      <c t="s" s="30" r="E554">
        <v>4</v>
      </c>
      <c t="s" s="30" r="F554">
        <v>4</v>
      </c>
      <c t="s" s="30" r="G554">
        <v>208</v>
      </c>
      <c t="str" s="12" r="H554">
        <f>HYPERLINK("http://sofifa.com/en/fifa13winter/player/148379-axel-witsel","A. Witsel")</f>
        <v>A. Witsel</v>
      </c>
      <c s="30" r="I554">
        <v>81</v>
      </c>
      <c t="s" s="30" r="J554">
        <v>124</v>
      </c>
      <c t="s" s="30" r="K554">
        <v>173</v>
      </c>
      <c t="s" s="30" r="L554">
        <v>119</v>
      </c>
      <c s="30" r="M554">
        <v>23</v>
      </c>
      <c s="26" r="N554">
        <v>12.6</v>
      </c>
      <c s="23" r="O554">
        <v>0.038</v>
      </c>
      <c s="7" r="P554"/>
      <c s="7" r="Q554"/>
      <c s="7" r="R554">
        <f>IF((P554&gt;0),O554,0)</f>
        <v>0</v>
      </c>
      <c t="str" r="S554">
        <f>CONCATENATE(F554,E554)</f>
        <v>NON FTLNON FTL</v>
      </c>
    </row>
    <row r="555">
      <c t="s" s="7" r="A555">
        <v>201</v>
      </c>
      <c s="7" r="B555">
        <v>554</v>
      </c>
      <c s="30" r="C555">
        <v>15</v>
      </c>
      <c t="s" s="30" r="D555">
        <v>126</v>
      </c>
      <c t="s" s="30" r="E555">
        <v>4</v>
      </c>
      <c t="s" s="30" r="F555">
        <v>4</v>
      </c>
      <c t="s" s="30" r="G555">
        <v>208</v>
      </c>
      <c t="str" s="12" r="H555">
        <f>HYPERLINK("http://sofifa.com/en/fifa13winter/player/145632-roman-shirokov","R. Shirokov")</f>
        <v>R. Shirokov</v>
      </c>
      <c s="30" r="I555">
        <v>78</v>
      </c>
      <c t="s" s="30" r="J555">
        <v>124</v>
      </c>
      <c t="s" s="30" r="K555">
        <v>110</v>
      </c>
      <c t="s" s="30" r="L555">
        <v>153</v>
      </c>
      <c s="30" r="M555">
        <v>31</v>
      </c>
      <c s="26" r="N555">
        <v>5.1</v>
      </c>
      <c s="23" r="O555">
        <v>0.022</v>
      </c>
      <c s="7" r="P555"/>
      <c s="7" r="Q555"/>
      <c s="7" r="R555">
        <f>IF((P555&gt;0),O555,0)</f>
        <v>0</v>
      </c>
      <c t="str" r="S555">
        <f>CONCATENATE(F555,E555)</f>
        <v>NON FTLNON FTL</v>
      </c>
    </row>
    <row r="556">
      <c t="s" s="7" r="A556">
        <v>201</v>
      </c>
      <c s="7" r="B556">
        <v>555</v>
      </c>
      <c s="30" r="C556">
        <v>29</v>
      </c>
      <c t="s" s="30" r="D556">
        <v>157</v>
      </c>
      <c t="s" s="30" r="E556">
        <v>4</v>
      </c>
      <c t="s" s="30" r="F556">
        <v>4</v>
      </c>
      <c t="s" s="30" r="G556">
        <v>208</v>
      </c>
      <c t="str" s="12" r="H556">
        <f>HYPERLINK("http://sofifa.com/en/fifa13winter/player/147477-givanildo-vieira-de-souza","Hulk")</f>
        <v>Hulk</v>
      </c>
      <c s="30" r="I556">
        <v>83</v>
      </c>
      <c t="s" s="30" r="J556">
        <v>157</v>
      </c>
      <c t="s" s="30" r="K556">
        <v>114</v>
      </c>
      <c t="s" s="30" r="L556">
        <v>179</v>
      </c>
      <c s="30" r="M556">
        <v>26</v>
      </c>
      <c s="26" r="N556">
        <v>19.2</v>
      </c>
      <c s="23" r="O556">
        <v>0.068</v>
      </c>
      <c s="7" r="P556"/>
      <c s="7" r="Q556"/>
      <c s="7" r="R556">
        <f>IF((P556&gt;0),O556,0)</f>
        <v>0</v>
      </c>
      <c t="str" r="S556">
        <f>CONCATENATE(F556,E556)</f>
        <v>NON FTLNON FTL</v>
      </c>
    </row>
    <row r="557">
      <c t="s" s="7" r="A557">
        <v>201</v>
      </c>
      <c s="7" r="B557">
        <v>556</v>
      </c>
      <c s="30" r="C557">
        <v>11</v>
      </c>
      <c t="s" s="30" r="D557">
        <v>129</v>
      </c>
      <c t="s" s="30" r="E557">
        <v>4</v>
      </c>
      <c t="s" s="30" r="F557">
        <v>4</v>
      </c>
      <c t="s" s="30" r="G557">
        <v>208</v>
      </c>
      <c t="str" s="12" r="H557">
        <f>HYPERLINK("http://sofifa.com/en/fifa13winter/player/146141-alexandr-kerzhakov","A. Kerzhakov")</f>
        <v>A. Kerzhakov</v>
      </c>
      <c s="30" r="I557">
        <v>80</v>
      </c>
      <c t="s" s="30" r="J557">
        <v>129</v>
      </c>
      <c t="s" s="30" r="K557">
        <v>172</v>
      </c>
      <c t="s" s="30" r="L557">
        <v>137</v>
      </c>
      <c s="30" r="M557">
        <v>29</v>
      </c>
      <c s="26" r="N557">
        <v>10.4</v>
      </c>
      <c s="23" r="O557">
        <v>0.032</v>
      </c>
      <c s="7" r="P557"/>
      <c s="7" r="Q557"/>
      <c s="7" r="R557">
        <f>IF((P557&gt;0),O557,0)</f>
        <v>0</v>
      </c>
      <c t="str" r="S557">
        <f>CONCATENATE(F557,E557)</f>
        <v>NON FTLNON FTL</v>
      </c>
    </row>
    <row r="558">
      <c t="s" s="7" r="A558">
        <v>201</v>
      </c>
      <c s="7" r="B558">
        <v>557</v>
      </c>
      <c s="30" r="C558">
        <v>10</v>
      </c>
      <c t="s" s="30" r="D558">
        <v>170</v>
      </c>
      <c t="s" s="30" r="E558">
        <v>4</v>
      </c>
      <c t="s" s="30" r="F558">
        <v>4</v>
      </c>
      <c t="s" s="30" r="G558">
        <v>208</v>
      </c>
      <c t="str" s="12" r="H558">
        <f>HYPERLINK("http://sofifa.com/en/fifa13winter/player/146394-danny-miguel-alves-gomes","Danny")</f>
        <v>Danny</v>
      </c>
      <c s="30" r="I558">
        <v>81</v>
      </c>
      <c t="s" s="30" r="J558">
        <v>170</v>
      </c>
      <c t="s" s="30" r="K558">
        <v>118</v>
      </c>
      <c t="s" s="30" r="L558">
        <v>122</v>
      </c>
      <c s="30" r="M558">
        <v>29</v>
      </c>
      <c s="26" r="N558">
        <v>12.2</v>
      </c>
      <c s="23" r="O558">
        <v>0.043</v>
      </c>
      <c s="7" r="P558"/>
      <c s="7" r="Q558"/>
      <c s="7" r="R558">
        <f>IF((P558&gt;0),O558,0)</f>
        <v>0</v>
      </c>
      <c t="str" r="S558">
        <f>CONCATENATE(F558,E558)</f>
        <v>NON FTLNON FTL</v>
      </c>
    </row>
    <row r="559">
      <c t="s" s="7" r="A559">
        <v>201</v>
      </c>
      <c s="7" r="B559">
        <v>558</v>
      </c>
      <c s="30" r="C559">
        <v>30</v>
      </c>
      <c t="s" s="30" r="D559">
        <v>136</v>
      </c>
      <c t="s" s="30" r="E559">
        <v>4</v>
      </c>
      <c t="s" s="30" r="F559">
        <v>4</v>
      </c>
      <c t="s" s="30" r="G559">
        <v>208</v>
      </c>
      <c t="str" s="12" r="H559">
        <f>HYPERLINK("http://sofifa.com/en/fifa13winter/player/145552-yuriy-zhevnov","Y. Zhevnov")</f>
        <v>Y. Zhevnov</v>
      </c>
      <c s="30" r="I559">
        <v>74</v>
      </c>
      <c t="s" s="30" r="J559">
        <v>106</v>
      </c>
      <c t="s" s="30" r="K559">
        <v>114</v>
      </c>
      <c t="s" s="30" r="L559">
        <v>179</v>
      </c>
      <c s="30" r="M559">
        <v>31</v>
      </c>
      <c s="26" r="N559">
        <v>2.2</v>
      </c>
      <c s="23" r="O559">
        <v>0.012</v>
      </c>
      <c s="7" r="P559"/>
      <c s="7" r="Q559"/>
      <c s="7" r="R559">
        <f>IF((P559&gt;0),O559,0)</f>
        <v>0</v>
      </c>
      <c t="str" r="S559">
        <f>CONCATENATE(F559,E559)</f>
        <v>NON FTLNON FTL</v>
      </c>
    </row>
    <row r="560">
      <c t="s" s="7" r="A560">
        <v>201</v>
      </c>
      <c s="7" r="B560">
        <v>559</v>
      </c>
      <c s="30" r="C560">
        <v>85</v>
      </c>
      <c t="s" s="30" r="D560">
        <v>136</v>
      </c>
      <c t="s" s="30" r="E560">
        <v>4</v>
      </c>
      <c t="s" s="30" r="F560">
        <v>4</v>
      </c>
      <c t="s" s="30" r="G560">
        <v>208</v>
      </c>
      <c t="str" s="12" r="H560">
        <f>HYPERLINK("http://sofifa.com/en/fifa13winter/player/149853-pavel-mogilevets","P. Mogilevets")</f>
        <v>P. Mogilevets</v>
      </c>
      <c s="30" r="I560">
        <v>54</v>
      </c>
      <c t="s" s="30" r="J560">
        <v>162</v>
      </c>
      <c t="s" s="30" r="K560">
        <v>110</v>
      </c>
      <c t="s" s="30" r="L560">
        <v>122</v>
      </c>
      <c s="30" r="M560">
        <v>19</v>
      </c>
      <c s="26" r="N560">
        <v>0.1</v>
      </c>
      <c s="23" r="O560">
        <v>0.002</v>
      </c>
      <c s="7" r="P560"/>
      <c s="7" r="Q560"/>
      <c s="7" r="R560">
        <f>IF((P560&gt;0),O560,0)</f>
        <v>0</v>
      </c>
      <c t="str" r="S560">
        <f>CONCATENATE(F560,E560)</f>
        <v>NON FTLNON FTL</v>
      </c>
    </row>
    <row r="561">
      <c t="s" s="7" r="A561">
        <v>201</v>
      </c>
      <c s="7" r="B561">
        <v>560</v>
      </c>
      <c s="30" r="C561">
        <v>77</v>
      </c>
      <c t="s" s="30" r="D561">
        <v>136</v>
      </c>
      <c t="s" s="30" r="E561">
        <v>4</v>
      </c>
      <c t="s" s="30" r="F561">
        <v>4</v>
      </c>
      <c t="s" s="30" r="G561">
        <v>208</v>
      </c>
      <c t="str" s="12" r="H561">
        <f>HYPERLINK("http://sofifa.com/en/fifa13winter/player/150383-luka-djordjevic","L. Djordjević")</f>
        <v>L. Djordjević</v>
      </c>
      <c s="30" r="I561">
        <v>66</v>
      </c>
      <c t="s" s="30" r="J561">
        <v>129</v>
      </c>
      <c t="s" s="30" r="K561">
        <v>167</v>
      </c>
      <c t="s" s="30" r="L561">
        <v>161</v>
      </c>
      <c s="30" r="M561">
        <v>18</v>
      </c>
      <c s="26" r="N561">
        <v>1.6</v>
      </c>
      <c s="23" r="O561">
        <v>0.004</v>
      </c>
      <c s="7" r="P561"/>
      <c s="7" r="Q561"/>
      <c s="7" r="R561">
        <f>IF((P561&gt;0),O561,0)</f>
        <v>0</v>
      </c>
      <c t="str" r="S561">
        <f>CONCATENATE(F561,E561)</f>
        <v>NON FTLNON FTL</v>
      </c>
    </row>
    <row r="562">
      <c t="s" s="7" r="A562">
        <v>201</v>
      </c>
      <c s="7" r="B562">
        <v>561</v>
      </c>
      <c s="30" r="C562">
        <v>94</v>
      </c>
      <c t="s" s="30" r="D562">
        <v>136</v>
      </c>
      <c t="s" s="30" r="E562">
        <v>4</v>
      </c>
      <c t="s" s="30" r="F562">
        <v>4</v>
      </c>
      <c t="s" s="30" r="G562">
        <v>208</v>
      </c>
      <c t="str" s="12" r="H562">
        <f>HYPERLINK("http://sofifa.com/en/fifa13winter/player/150282-alexey-evseev","A. Evseev")</f>
        <v>A. Evseev</v>
      </c>
      <c s="30" r="I562">
        <v>57</v>
      </c>
      <c t="s" s="30" r="J562">
        <v>124</v>
      </c>
      <c t="s" s="30" r="K562">
        <v>110</v>
      </c>
      <c t="s" s="30" r="L562">
        <v>119</v>
      </c>
      <c s="30" r="M562">
        <v>18</v>
      </c>
      <c s="26" r="N562">
        <v>0.2</v>
      </c>
      <c s="23" r="O562">
        <v>0.002</v>
      </c>
      <c s="7" r="P562"/>
      <c s="7" r="Q562"/>
      <c s="7" r="R562">
        <f>IF((P562&gt;0),O562,0)</f>
        <v>0</v>
      </c>
      <c t="str" r="S562">
        <f>CONCATENATE(F562,E562)</f>
        <v>NON FTLNON FTL</v>
      </c>
    </row>
    <row r="563">
      <c t="s" s="7" r="A563">
        <v>201</v>
      </c>
      <c s="7" r="B563">
        <v>562</v>
      </c>
      <c s="30" r="C563">
        <v>18</v>
      </c>
      <c t="s" s="30" r="D563">
        <v>136</v>
      </c>
      <c t="s" s="30" r="E563">
        <v>4</v>
      </c>
      <c t="s" s="30" r="F563">
        <v>4</v>
      </c>
      <c t="s" s="30" r="G563">
        <v>208</v>
      </c>
      <c t="str" s="12" r="H563">
        <f>HYPERLINK("http://sofifa.com/en/fifa13winter/player/144262-konstantin-zyryanov","K. Zyryanov")</f>
        <v>K. Zyryanov</v>
      </c>
      <c s="30" r="I563">
        <v>77</v>
      </c>
      <c t="s" s="30" r="J563">
        <v>124</v>
      </c>
      <c t="s" s="30" r="K563">
        <v>172</v>
      </c>
      <c t="s" s="30" r="L563">
        <v>146</v>
      </c>
      <c s="30" r="M563">
        <v>34</v>
      </c>
      <c s="26" r="N563">
        <v>3.6</v>
      </c>
      <c s="23" r="O563">
        <v>0.021</v>
      </c>
      <c s="7" r="P563"/>
      <c s="7" r="Q563"/>
      <c s="7" r="R563">
        <f>IF((P563&gt;0),O563,0)</f>
        <v>0</v>
      </c>
      <c t="str" r="S563">
        <f>CONCATENATE(F563,E563)</f>
        <v>NON FTLNON FTL</v>
      </c>
    </row>
    <row r="564">
      <c t="s" s="7" r="A564">
        <v>201</v>
      </c>
      <c s="7" r="B564">
        <v>563</v>
      </c>
      <c s="30" r="C564">
        <v>50</v>
      </c>
      <c t="s" s="30" r="D564">
        <v>136</v>
      </c>
      <c t="s" s="30" r="E564">
        <v>4</v>
      </c>
      <c t="s" s="30" r="F564">
        <v>4</v>
      </c>
      <c t="s" s="30" r="G564">
        <v>208</v>
      </c>
      <c t="str" s="12" r="H564">
        <f>HYPERLINK("http://sofifa.com/en/fifa13winter/player/149179-igor-cheminava","I. Cheminava")</f>
        <v>I. Cheminava</v>
      </c>
      <c s="30" r="I564">
        <v>62</v>
      </c>
      <c t="s" s="30" r="J564">
        <v>113</v>
      </c>
      <c t="s" s="30" r="K564">
        <v>173</v>
      </c>
      <c t="s" s="30" r="L564">
        <v>137</v>
      </c>
      <c s="30" r="M564">
        <v>21</v>
      </c>
      <c s="26" r="N564">
        <v>0.7</v>
      </c>
      <c s="23" r="O564">
        <v>0.003</v>
      </c>
      <c s="7" r="P564"/>
      <c s="7" r="Q564"/>
      <c s="7" r="R564">
        <f>IF((P564&gt;0),O564,0)</f>
        <v>0</v>
      </c>
      <c t="str" r="S564">
        <f>CONCATENATE(F564,E564)</f>
        <v>NON FTLNON FTL</v>
      </c>
    </row>
    <row r="565">
      <c t="s" s="7" r="A565">
        <v>201</v>
      </c>
      <c s="7" r="B565">
        <v>564</v>
      </c>
      <c s="30" r="C565">
        <v>34</v>
      </c>
      <c t="s" s="30" r="D565">
        <v>136</v>
      </c>
      <c t="s" s="30" r="E565">
        <v>4</v>
      </c>
      <c t="s" s="30" r="F565">
        <v>4</v>
      </c>
      <c t="s" s="30" r="G565">
        <v>208</v>
      </c>
      <c t="str" s="12" r="H565">
        <f>HYPERLINK("http://sofifa.com/en/fifa13winter/player/146571-vladimir-bystrov","V. Bystrov")</f>
        <v>V. Bystrov</v>
      </c>
      <c s="30" r="I565">
        <v>78</v>
      </c>
      <c t="s" s="30" r="J565">
        <v>157</v>
      </c>
      <c t="s" s="30" r="K565">
        <v>159</v>
      </c>
      <c t="s" s="30" r="L565">
        <v>119</v>
      </c>
      <c s="30" r="M565">
        <v>28</v>
      </c>
      <c s="26" r="N565">
        <v>7</v>
      </c>
      <c s="23" r="O565">
        <v>0.02</v>
      </c>
      <c s="7" r="P565"/>
      <c s="7" r="Q565"/>
      <c s="7" r="R565">
        <f>IF((P565&gt;0),O565,0)</f>
        <v>0</v>
      </c>
      <c t="str" r="S565">
        <f>CONCATENATE(F565,E565)</f>
        <v>NON FTLNON FTL</v>
      </c>
    </row>
    <row r="566">
      <c t="s" s="7" r="A566">
        <v>201</v>
      </c>
      <c s="7" r="B566">
        <v>565</v>
      </c>
      <c s="30" r="C566">
        <v>6</v>
      </c>
      <c t="s" s="30" r="D566">
        <v>136</v>
      </c>
      <c t="s" s="30" r="E566">
        <v>4</v>
      </c>
      <c t="s" s="30" r="F566">
        <v>4</v>
      </c>
      <c t="s" s="30" r="G566">
        <v>208</v>
      </c>
      <c t="str" s="12" r="H566">
        <f>HYPERLINK("http://sofifa.com/en/fifa13winter/player/146985-nicolas-lombaerts","N. Lombaerts")</f>
        <v>N. Lombaerts</v>
      </c>
      <c s="30" r="I566">
        <v>79</v>
      </c>
      <c t="s" s="30" r="J566">
        <v>113</v>
      </c>
      <c t="s" s="30" r="K566">
        <v>134</v>
      </c>
      <c t="s" s="30" r="L566">
        <v>108</v>
      </c>
      <c s="30" r="M566">
        <v>27</v>
      </c>
      <c s="26" r="N566">
        <v>6.9</v>
      </c>
      <c s="23" r="O566">
        <v>0.022</v>
      </c>
      <c s="7" r="P566"/>
      <c s="7" r="Q566"/>
      <c s="7" r="R566">
        <f>IF((P566&gt;0),O566,0)</f>
        <v>0</v>
      </c>
      <c t="str" r="S566">
        <f>CONCATENATE(F566,E566)</f>
        <v>NON FTLNON FTL</v>
      </c>
    </row>
    <row r="567">
      <c t="s" s="7" r="A567">
        <v>201</v>
      </c>
      <c s="7" r="B567">
        <v>566</v>
      </c>
      <c s="30" r="C567">
        <v>9</v>
      </c>
      <c t="s" s="30" r="D567">
        <v>136</v>
      </c>
      <c t="s" s="30" r="E567">
        <v>4</v>
      </c>
      <c t="s" s="30" r="F567">
        <v>4</v>
      </c>
      <c t="s" s="30" r="G567">
        <v>208</v>
      </c>
      <c t="str" s="12" r="H567">
        <f>HYPERLINK("http://sofifa.com/en/fifa13winter/player/146977-alexandr-bukharov","A. Bukharov")</f>
        <v>A. Bukharov</v>
      </c>
      <c s="30" r="I567">
        <v>73</v>
      </c>
      <c t="s" s="30" r="J567">
        <v>129</v>
      </c>
      <c t="s" s="30" r="K567">
        <v>107</v>
      </c>
      <c t="s" s="30" r="L567">
        <v>135</v>
      </c>
      <c s="30" r="M567">
        <v>27</v>
      </c>
      <c s="26" r="N567">
        <v>3.8</v>
      </c>
      <c s="23" r="O567">
        <v>0.01</v>
      </c>
      <c s="7" r="P567"/>
      <c s="7" r="Q567"/>
      <c s="7" r="R567">
        <f>IF((P567&gt;0),O567,0)</f>
        <v>0</v>
      </c>
      <c t="str" r="S567">
        <f>CONCATENATE(F567,E567)</f>
        <v>NON FTLNON FTL</v>
      </c>
    </row>
    <row r="568">
      <c t="s" s="7" r="A568">
        <v>201</v>
      </c>
      <c s="7" r="B568">
        <v>567</v>
      </c>
      <c s="30" r="C568">
        <v>24</v>
      </c>
      <c t="s" s="30" r="D568">
        <v>136</v>
      </c>
      <c t="s" s="30" r="E568">
        <v>4</v>
      </c>
      <c t="s" s="30" r="F568">
        <v>4</v>
      </c>
      <c t="s" s="30" r="G568">
        <v>208</v>
      </c>
      <c t="str" s="12" r="H568">
        <f>HYPERLINK("http://sofifa.com/en/fifa13winter/player/146106-aleksandar-lukovic","A. Luković")</f>
        <v>A. Luković</v>
      </c>
      <c s="30" r="I568">
        <v>73</v>
      </c>
      <c t="s" s="30" r="J568">
        <v>117</v>
      </c>
      <c t="s" s="30" r="K568">
        <v>132</v>
      </c>
      <c t="s" s="30" r="L568">
        <v>108</v>
      </c>
      <c s="30" r="M568">
        <v>29</v>
      </c>
      <c s="26" r="N568">
        <v>2.5</v>
      </c>
      <c s="23" r="O568">
        <v>0.011</v>
      </c>
      <c s="7" r="P568"/>
      <c s="7" r="Q568"/>
      <c s="7" r="R568">
        <f>IF((P568&gt;0),O568,0)</f>
        <v>0</v>
      </c>
      <c t="str" r="S568">
        <f>CONCATENATE(F568,E568)</f>
        <v>NON FTLNON FTL</v>
      </c>
    </row>
    <row r="569">
      <c t="s" s="7" r="A569">
        <v>201</v>
      </c>
      <c s="7" r="B569">
        <v>568</v>
      </c>
      <c s="30" r="C569">
        <v>20</v>
      </c>
      <c t="s" s="30" r="D569">
        <v>136</v>
      </c>
      <c t="s" s="30" r="E569">
        <v>4</v>
      </c>
      <c t="s" s="30" r="F569">
        <v>4</v>
      </c>
      <c t="s" s="30" r="G569">
        <v>208</v>
      </c>
      <c t="str" s="12" r="H569">
        <f>HYPERLINK("http://sofifa.com/en/fifa13winter/player/147383-viktor-fayzulin","V. Fayzulin")</f>
        <v>V. Fayzulin</v>
      </c>
      <c s="30" r="I569">
        <v>76</v>
      </c>
      <c t="s" s="30" r="J569">
        <v>170</v>
      </c>
      <c t="s" s="30" r="K569">
        <v>172</v>
      </c>
      <c t="s" s="30" r="L569">
        <v>146</v>
      </c>
      <c s="30" r="M569">
        <v>26</v>
      </c>
      <c s="26" r="N569">
        <v>5.3</v>
      </c>
      <c s="23" r="O569">
        <v>0.015</v>
      </c>
      <c s="7" r="P569"/>
      <c s="7" r="Q569"/>
      <c s="7" r="R569">
        <f>IF((P569&gt;0),O569,0)</f>
        <v>0</v>
      </c>
      <c t="str" r="S569">
        <f>CONCATENATE(F569,E569)</f>
        <v>NON FTLNON FTL</v>
      </c>
    </row>
    <row r="570">
      <c t="s" s="7" r="A570">
        <v>201</v>
      </c>
      <c s="7" r="B570">
        <v>569</v>
      </c>
      <c s="30" r="C570">
        <v>21</v>
      </c>
      <c t="s" s="30" r="D570">
        <v>136</v>
      </c>
      <c t="s" s="30" r="E570">
        <v>4</v>
      </c>
      <c t="s" s="30" r="F570">
        <v>4</v>
      </c>
      <c t="s" s="30" r="G570">
        <v>208</v>
      </c>
      <c t="str" s="12" r="H570">
        <f>HYPERLINK("http://sofifa.com/en/fifa13winter/player/149189-milan-rodic","M. Rodić")</f>
        <v>M. Rodić</v>
      </c>
      <c s="30" r="I570">
        <v>67</v>
      </c>
      <c t="s" s="30" r="J570">
        <v>117</v>
      </c>
      <c t="s" s="30" r="K570">
        <v>132</v>
      </c>
      <c t="s" s="30" r="L570">
        <v>151</v>
      </c>
      <c s="30" r="M570">
        <v>21</v>
      </c>
      <c s="26" r="N570">
        <v>1.4</v>
      </c>
      <c s="23" r="O570">
        <v>0.005</v>
      </c>
      <c s="7" r="P570"/>
      <c s="7" r="Q570"/>
      <c s="7" r="R570">
        <f>IF((P570&gt;0),O570,0)</f>
        <v>0</v>
      </c>
      <c t="str" r="S570">
        <f>CONCATENATE(F570,E570)</f>
        <v>NON FTLNON FTL</v>
      </c>
    </row>
    <row r="571">
      <c t="s" s="7" r="A571">
        <v>201</v>
      </c>
      <c s="7" r="B571">
        <v>570</v>
      </c>
      <c s="30" r="C571">
        <v>62</v>
      </c>
      <c t="s" s="30" r="D571">
        <v>147</v>
      </c>
      <c t="s" s="30" r="E571">
        <v>4</v>
      </c>
      <c t="s" s="30" r="F571">
        <v>4</v>
      </c>
      <c t="s" s="30" r="G571">
        <v>208</v>
      </c>
      <c t="str" s="12" r="H571">
        <f>HYPERLINK("http://sofifa.com/en/fifa13winter/player/150679-stepan-rebenko","S. Rebenko")</f>
        <v>S. Rebenko</v>
      </c>
      <c s="30" r="I571">
        <v>53</v>
      </c>
      <c t="s" s="30" r="J571">
        <v>113</v>
      </c>
      <c t="s" s="30" r="K571">
        <v>118</v>
      </c>
      <c t="s" s="30" r="L571">
        <v>163</v>
      </c>
      <c s="30" r="M571">
        <v>17</v>
      </c>
      <c s="26" r="N571">
        <v>0.1</v>
      </c>
      <c s="23" r="O571">
        <v>0.001</v>
      </c>
      <c s="7" r="P571"/>
      <c s="7" r="Q571"/>
      <c s="7" r="R571">
        <f>IF((P571&gt;0),O571,0)</f>
        <v>0</v>
      </c>
      <c t="str" r="S571">
        <f>CONCATENATE(F571,E571)</f>
        <v>NON FTLNON FTL</v>
      </c>
    </row>
    <row r="572">
      <c t="s" s="7" r="A572">
        <v>201</v>
      </c>
      <c s="7" r="B572">
        <v>571</v>
      </c>
      <c s="30" r="C572">
        <v>68</v>
      </c>
      <c t="s" s="30" r="D572">
        <v>147</v>
      </c>
      <c t="s" s="30" r="E572">
        <v>4</v>
      </c>
      <c t="s" s="30" r="F572">
        <v>4</v>
      </c>
      <c t="s" s="30" r="G572">
        <v>208</v>
      </c>
      <c t="str" s="12" r="H572">
        <f>HYPERLINK("http://sofifa.com/en/fifa13winter/player/149974-vyacheslav-zinkov","V. Zinkov")</f>
        <v>V. Zinkov</v>
      </c>
      <c s="30" r="I572">
        <v>55</v>
      </c>
      <c t="s" s="30" r="J572">
        <v>154</v>
      </c>
      <c t="s" s="30" r="K572">
        <v>132</v>
      </c>
      <c t="s" s="30" r="L572">
        <v>146</v>
      </c>
      <c s="30" r="M572">
        <v>19</v>
      </c>
      <c s="26" r="N572">
        <v>0.1</v>
      </c>
      <c s="23" r="O572">
        <v>0.002</v>
      </c>
      <c s="7" r="P572"/>
      <c s="7" r="Q572"/>
      <c s="7" r="R572">
        <f>IF((P572&gt;0),O572,0)</f>
        <v>0</v>
      </c>
      <c t="str" r="S572">
        <f>CONCATENATE(F572,E572)</f>
        <v>NON FTLNON FTL</v>
      </c>
    </row>
    <row r="573">
      <c t="s" s="7" r="A573">
        <v>201</v>
      </c>
      <c s="7" r="B573">
        <v>572</v>
      </c>
      <c s="30" r="C573">
        <v>71</v>
      </c>
      <c t="s" s="30" r="D573">
        <v>147</v>
      </c>
      <c t="s" s="30" r="E573">
        <v>4</v>
      </c>
      <c t="s" s="30" r="F573">
        <v>4</v>
      </c>
      <c t="s" s="30" r="G573">
        <v>208</v>
      </c>
      <c t="str" s="12" r="H573">
        <f>HYPERLINK("http://sofifa.com/en/fifa13winter/player/150049-egor-baburin","E. Baburin")</f>
        <v>E. Baburin</v>
      </c>
      <c s="30" r="I573">
        <v>59</v>
      </c>
      <c t="s" s="30" r="J573">
        <v>106</v>
      </c>
      <c t="s" s="30" r="K573">
        <v>167</v>
      </c>
      <c t="s" s="30" r="L573">
        <v>161</v>
      </c>
      <c s="30" r="M573">
        <v>19</v>
      </c>
      <c s="26" r="N573">
        <v>0.4</v>
      </c>
      <c s="23" r="O573">
        <v>0.002</v>
      </c>
      <c s="7" r="P573"/>
      <c s="7" r="Q573"/>
      <c s="7" r="R573">
        <f>IF((P573&gt;0),O573,0)</f>
        <v>0</v>
      </c>
      <c t="str" r="S573">
        <f>CONCATENATE(F573,E573)</f>
        <v>NON FTLNON FTL</v>
      </c>
    </row>
    <row r="574">
      <c t="s" s="7" r="A574">
        <v>201</v>
      </c>
      <c s="7" r="B574">
        <v>573</v>
      </c>
      <c s="30" r="C574">
        <v>65</v>
      </c>
      <c t="s" s="30" r="D574">
        <v>147</v>
      </c>
      <c t="s" s="30" r="E574">
        <v>4</v>
      </c>
      <c t="s" s="30" r="F574">
        <v>4</v>
      </c>
      <c t="s" s="30" r="G574">
        <v>208</v>
      </c>
      <c t="str" s="12" r="H574">
        <f>HYPERLINK("http://sofifa.com/en/fifa13winter/player/150630-danila-yaschuk","D. Yaschuk")</f>
        <v>D. Yaschuk</v>
      </c>
      <c s="30" r="I574">
        <v>55</v>
      </c>
      <c t="s" s="30" r="J574">
        <v>128</v>
      </c>
      <c t="s" s="30" r="K574">
        <v>150</v>
      </c>
      <c t="s" s="30" r="L574">
        <v>160</v>
      </c>
      <c s="30" r="M574">
        <v>17</v>
      </c>
      <c s="26" r="N574">
        <v>0.1</v>
      </c>
      <c s="23" r="O574">
        <v>0.001</v>
      </c>
      <c s="7" r="P574"/>
      <c s="7" r="Q574"/>
      <c s="7" r="R574">
        <f>IF((P574&gt;0),O574,0)</f>
        <v>0</v>
      </c>
      <c t="str" r="S574">
        <f>CONCATENATE(F574,E574)</f>
        <v>NON FTLNON FTL</v>
      </c>
    </row>
    <row r="575">
      <c t="s" s="7" r="A575">
        <v>201</v>
      </c>
      <c s="7" r="B575">
        <v>574</v>
      </c>
      <c s="30" r="C575">
        <v>74</v>
      </c>
      <c t="s" s="30" r="D575">
        <v>147</v>
      </c>
      <c t="s" s="30" r="E575">
        <v>4</v>
      </c>
      <c t="s" s="30" r="F575">
        <v>4</v>
      </c>
      <c t="s" s="30" r="G575">
        <v>208</v>
      </c>
      <c t="str" s="12" r="H575">
        <f>HYPERLINK("http://sofifa.com/en/fifa13winter/player/150013-ovidijus-verbickas","O. Verbickas")</f>
        <v>O. Verbickas</v>
      </c>
      <c s="30" r="I575">
        <v>52</v>
      </c>
      <c t="s" s="30" r="J575">
        <v>124</v>
      </c>
      <c t="s" s="30" r="K575">
        <v>132</v>
      </c>
      <c t="s" s="30" r="L575">
        <v>138</v>
      </c>
      <c s="30" r="M575">
        <v>19</v>
      </c>
      <c s="26" r="N575">
        <v>0.1</v>
      </c>
      <c s="23" r="O575">
        <v>0.002</v>
      </c>
      <c s="7" r="P575"/>
      <c s="7" r="Q575"/>
      <c s="7" r="R575">
        <f>IF((P575&gt;0),O575,0)</f>
        <v>0</v>
      </c>
      <c t="str" r="S575">
        <f>CONCATENATE(F575,E575)</f>
        <v>NON FTLNON FTL</v>
      </c>
    </row>
    <row r="576">
      <c t="s" s="7" r="A576">
        <v>201</v>
      </c>
      <c s="7" r="B576">
        <v>575</v>
      </c>
      <c s="30" r="C576">
        <v>4</v>
      </c>
      <c t="s" s="30" r="D576">
        <v>147</v>
      </c>
      <c t="s" s="30" r="E576">
        <v>4</v>
      </c>
      <c t="s" s="30" r="F576">
        <v>4</v>
      </c>
      <c t="s" s="30" r="G576">
        <v>208</v>
      </c>
      <c t="str" s="12" r="H576">
        <f>HYPERLINK("http://sofifa.com/en/fifa13winter/player/147635-domenico-criscito","D. Criscito")</f>
        <v>D. Criscito</v>
      </c>
      <c s="30" r="I576">
        <v>81</v>
      </c>
      <c t="s" s="30" r="J576">
        <v>117</v>
      </c>
      <c t="s" s="30" r="K576">
        <v>110</v>
      </c>
      <c t="s" s="30" r="L576">
        <v>151</v>
      </c>
      <c s="30" r="M576">
        <v>25</v>
      </c>
      <c s="26" r="N576">
        <v>10.9</v>
      </c>
      <c s="23" r="O576">
        <v>0.04</v>
      </c>
      <c s="7" r="P576"/>
      <c s="7" r="Q576"/>
      <c s="7" r="R576">
        <f>IF((P576&gt;0),O576,0)</f>
        <v>0</v>
      </c>
      <c t="str" r="S576">
        <f>CONCATENATE(F576,E576)</f>
        <v>NON FTLNON FTL</v>
      </c>
    </row>
    <row r="577">
      <c t="s" s="7" r="A577">
        <v>201</v>
      </c>
      <c s="7" r="B577">
        <v>576</v>
      </c>
      <c s="30" r="C577">
        <v>48</v>
      </c>
      <c t="s" s="30" r="D577">
        <v>147</v>
      </c>
      <c t="s" s="30" r="E577">
        <v>4</v>
      </c>
      <c t="s" s="30" r="F577">
        <v>4</v>
      </c>
      <c t="s" s="30" r="G577">
        <v>208</v>
      </c>
      <c t="str" s="12" r="H577">
        <f>HYPERLINK("http://sofifa.com/en/fifa13winter/player/150984-aleksey-gasilin","A. Gasilin")</f>
        <v>A. Gasilin</v>
      </c>
      <c s="30" r="I577">
        <v>59</v>
      </c>
      <c t="s" s="30" r="J577">
        <v>129</v>
      </c>
      <c t="s" s="30" r="K577">
        <v>110</v>
      </c>
      <c t="s" s="30" r="L577">
        <v>142</v>
      </c>
      <c s="30" r="M577">
        <v>16</v>
      </c>
      <c s="26" r="N577">
        <v>0.6</v>
      </c>
      <c s="23" r="O577">
        <v>0.002</v>
      </c>
      <c s="7" r="P577"/>
      <c s="7" r="Q577"/>
      <c s="7" r="R577">
        <f>IF((P577&gt;0),O577,0)</f>
        <v>0</v>
      </c>
      <c t="str" r="S577">
        <f>CONCATENATE(F577,E577)</f>
        <v>NON FTLNON FTL</v>
      </c>
    </row>
    <row r="578">
      <c t="s" s="7" r="A578">
        <v>201</v>
      </c>
      <c s="7" r="B578">
        <v>577</v>
      </c>
      <c s="30" r="C578">
        <v>1</v>
      </c>
      <c t="s" s="30" r="D578">
        <v>106</v>
      </c>
      <c t="s" s="30" r="E578">
        <v>4</v>
      </c>
      <c t="s" s="30" r="F578">
        <v>4</v>
      </c>
      <c t="s" s="30" r="G578">
        <v>209</v>
      </c>
      <c t="str" s="12" r="H578">
        <f>HYPERLINK("http://sofifa.com/en/fifa13winter/player/144069-morgan-de-sanctis","M. De Sanctis")</f>
        <v>M. De Sanctis</v>
      </c>
      <c s="30" r="I578">
        <v>80</v>
      </c>
      <c t="s" s="30" r="J578">
        <v>106</v>
      </c>
      <c t="s" s="30" r="K578">
        <v>152</v>
      </c>
      <c t="s" s="30" r="L578">
        <v>180</v>
      </c>
      <c s="30" r="M578">
        <v>35</v>
      </c>
      <c s="26" r="N578">
        <v>4.8</v>
      </c>
      <c s="23" r="O578">
        <v>0.038</v>
      </c>
      <c s="7" r="P578"/>
      <c s="7" r="Q578"/>
      <c s="7" r="R578">
        <f>IF((P578&gt;0),O578,0)</f>
        <v>0</v>
      </c>
      <c t="str" r="S578">
        <f>CONCATENATE(F578,E578)</f>
        <v>NON FTLNON FTL</v>
      </c>
    </row>
    <row r="579">
      <c t="s" s="7" r="A579">
        <v>201</v>
      </c>
      <c s="7" r="B579">
        <v>578</v>
      </c>
      <c s="30" r="C579">
        <v>14</v>
      </c>
      <c t="s" s="30" r="D579">
        <v>112</v>
      </c>
      <c t="s" s="30" r="E579">
        <v>4</v>
      </c>
      <c t="s" s="30" r="F579">
        <v>4</v>
      </c>
      <c t="s" s="30" r="G579">
        <v>209</v>
      </c>
      <c t="str" s="12" r="H579">
        <f>HYPERLINK("http://sofifa.com/en/fifa13winter/player/145258-hugo-campagnaro","H. Campagnaro")</f>
        <v>H. Campagnaro</v>
      </c>
      <c s="30" r="I579">
        <v>81</v>
      </c>
      <c t="s" s="30" r="J579">
        <v>113</v>
      </c>
      <c t="s" s="30" r="K579">
        <v>150</v>
      </c>
      <c t="s" s="30" r="L579">
        <v>179</v>
      </c>
      <c s="30" r="M579">
        <v>32</v>
      </c>
      <c s="26" r="N579">
        <v>8.6</v>
      </c>
      <c s="23" r="O579">
        <v>0.048</v>
      </c>
      <c s="7" r="P579"/>
      <c s="7" r="Q579"/>
      <c s="7" r="R579">
        <f>IF((P579&gt;0),O579,0)</f>
        <v>0</v>
      </c>
      <c t="str" r="S579">
        <f>CONCATENATE(F579,E579)</f>
        <v>NON FTLNON FTL</v>
      </c>
    </row>
    <row r="580">
      <c t="s" s="7" r="A580">
        <v>201</v>
      </c>
      <c s="7" r="B580">
        <v>579</v>
      </c>
      <c s="30" r="C580">
        <v>28</v>
      </c>
      <c t="s" s="30" r="D580">
        <v>113</v>
      </c>
      <c t="s" s="30" r="E580">
        <v>4</v>
      </c>
      <c t="s" s="30" r="F580">
        <v>4</v>
      </c>
      <c t="s" s="30" r="G580">
        <v>209</v>
      </c>
      <c t="str" s="12" r="H580">
        <f>HYPERLINK("http://sofifa.com/en/fifa13winter/player/145622-paolo-cannavaro","P. Cannavaro")</f>
        <v>P. Cannavaro</v>
      </c>
      <c s="30" r="I580">
        <v>80</v>
      </c>
      <c t="s" s="30" r="J580">
        <v>113</v>
      </c>
      <c t="s" s="30" r="K580">
        <v>132</v>
      </c>
      <c t="s" s="30" r="L580">
        <v>108</v>
      </c>
      <c s="30" r="M580">
        <v>31</v>
      </c>
      <c s="26" r="N580">
        <v>7.6</v>
      </c>
      <c s="23" r="O580">
        <v>0.035</v>
      </c>
      <c s="7" r="P580"/>
      <c s="7" r="Q580"/>
      <c s="7" r="R580">
        <f>IF((P580&gt;0),O580,0)</f>
        <v>0</v>
      </c>
      <c t="str" r="S580">
        <f>CONCATENATE(F580,E580)</f>
        <v>NON FTLNON FTL</v>
      </c>
    </row>
    <row r="581">
      <c t="s" s="7" r="A581">
        <v>201</v>
      </c>
      <c s="7" r="B581">
        <v>580</v>
      </c>
      <c s="30" r="C581">
        <v>5</v>
      </c>
      <c t="s" s="30" r="D581">
        <v>116</v>
      </c>
      <c t="s" s="30" r="E581">
        <v>4</v>
      </c>
      <c t="s" s="30" r="F581">
        <v>4</v>
      </c>
      <c t="s" s="30" r="G581">
        <v>209</v>
      </c>
      <c t="str" s="12" r="H581">
        <f>HYPERLINK("http://sofifa.com/en/fifa13winter/player/147104-miguel-angel-britos","M. Britos")</f>
        <v>M. Britos</v>
      </c>
      <c s="30" r="I581">
        <v>77</v>
      </c>
      <c t="s" s="30" r="J581">
        <v>113</v>
      </c>
      <c t="s" s="30" r="K581">
        <v>134</v>
      </c>
      <c t="s" s="30" r="L581">
        <v>193</v>
      </c>
      <c s="30" r="M581">
        <v>27</v>
      </c>
      <c s="26" r="N581">
        <v>5.5</v>
      </c>
      <c s="23" r="O581">
        <v>0.017</v>
      </c>
      <c s="7" r="P581"/>
      <c s="7" r="Q581"/>
      <c s="7" r="R581">
        <f>IF((P581&gt;0),O581,0)</f>
        <v>0</v>
      </c>
      <c t="str" r="S581">
        <f>CONCATENATE(F581,E581)</f>
        <v>NON FTLNON FTL</v>
      </c>
    </row>
    <row r="582">
      <c t="s" s="7" r="A582">
        <v>201</v>
      </c>
      <c s="7" r="B582">
        <v>581</v>
      </c>
      <c s="30" r="C582">
        <v>11</v>
      </c>
      <c t="s" s="30" r="D582">
        <v>120</v>
      </c>
      <c t="s" s="30" r="E582">
        <v>4</v>
      </c>
      <c t="s" s="30" r="F582">
        <v>4</v>
      </c>
      <c t="s" s="30" r="G582">
        <v>209</v>
      </c>
      <c t="str" s="12" r="H582">
        <f>HYPERLINK("http://sofifa.com/en/fifa13winter/player/145852-christian-maggio","C. Maggio")</f>
        <v>C. Maggio</v>
      </c>
      <c s="30" r="I582">
        <v>81</v>
      </c>
      <c t="s" s="30" r="J582">
        <v>120</v>
      </c>
      <c t="s" s="30" r="K582">
        <v>167</v>
      </c>
      <c t="s" s="30" r="L582">
        <v>158</v>
      </c>
      <c s="30" r="M582">
        <v>30</v>
      </c>
      <c s="26" r="N582">
        <v>10.2</v>
      </c>
      <c s="23" r="O582">
        <v>0.045</v>
      </c>
      <c s="7" r="P582"/>
      <c s="7" r="Q582"/>
      <c s="7" r="R582">
        <f>IF((P582&gt;0),O582,0)</f>
        <v>0</v>
      </c>
      <c t="str" r="S582">
        <f>CONCATENATE(F582,E582)</f>
        <v>NON FTLNON FTL</v>
      </c>
    </row>
    <row r="583">
      <c t="s" s="7" r="A583">
        <v>201</v>
      </c>
      <c s="7" r="B583">
        <v>582</v>
      </c>
      <c s="30" r="C583">
        <v>20</v>
      </c>
      <c t="s" s="30" r="D583">
        <v>123</v>
      </c>
      <c t="s" s="30" r="E583">
        <v>4</v>
      </c>
      <c t="s" s="30" r="F583">
        <v>4</v>
      </c>
      <c t="s" s="30" r="G583">
        <v>209</v>
      </c>
      <c t="str" s="12" r="H583">
        <f>HYPERLINK("http://sofifa.com/en/fifa13winter/player/147373-blerim-dzemaili","B. Džemaili")</f>
        <v>B. Džemaili</v>
      </c>
      <c s="30" r="I583">
        <v>76</v>
      </c>
      <c t="s" s="30" r="J583">
        <v>124</v>
      </c>
      <c t="s" s="30" r="K583">
        <v>145</v>
      </c>
      <c t="s" s="30" r="L583">
        <v>119</v>
      </c>
      <c s="30" r="M583">
        <v>26</v>
      </c>
      <c s="26" r="N583">
        <v>4.8</v>
      </c>
      <c s="23" r="O583">
        <v>0.015</v>
      </c>
      <c s="7" r="P583"/>
      <c s="7" r="Q583"/>
      <c s="7" r="R583">
        <f>IF((P583&gt;0),O583,0)</f>
        <v>0</v>
      </c>
      <c t="str" r="S583">
        <f>CONCATENATE(F583,E583)</f>
        <v>NON FTLNON FTL</v>
      </c>
    </row>
    <row r="584">
      <c t="s" s="7" r="A584">
        <v>201</v>
      </c>
      <c s="7" r="B584">
        <v>583</v>
      </c>
      <c s="30" r="C584">
        <v>85</v>
      </c>
      <c t="s" s="30" r="D584">
        <v>126</v>
      </c>
      <c t="s" s="30" r="E584">
        <v>4</v>
      </c>
      <c t="s" s="30" r="F584">
        <v>4</v>
      </c>
      <c t="s" s="30" r="G584">
        <v>209</v>
      </c>
      <c t="str" s="12" r="H584">
        <f>HYPERLINK("http://sofifa.com/en/fifa13winter/player/147015-valon-behrami","V. Behrami")</f>
        <v>V. Behrami</v>
      </c>
      <c s="30" r="I584">
        <v>79</v>
      </c>
      <c t="s" s="30" r="J584">
        <v>124</v>
      </c>
      <c t="s" s="30" r="K584">
        <v>167</v>
      </c>
      <c t="s" s="30" r="L584">
        <v>161</v>
      </c>
      <c s="30" r="M584">
        <v>27</v>
      </c>
      <c s="26" r="N584">
        <v>6.9</v>
      </c>
      <c s="23" r="O584">
        <v>0.022</v>
      </c>
      <c s="7" r="P584"/>
      <c s="7" r="Q584"/>
      <c s="7" r="R584">
        <f>IF((P584&gt;0),O584,0)</f>
        <v>0</v>
      </c>
      <c t="str" r="S584">
        <f>CONCATENATE(F584,E584)</f>
        <v>NON FTLNON FTL</v>
      </c>
    </row>
    <row r="585">
      <c t="s" s="7" r="A585">
        <v>201</v>
      </c>
      <c s="7" r="B585">
        <v>584</v>
      </c>
      <c s="30" r="C585">
        <v>18</v>
      </c>
      <c t="s" s="30" r="D585">
        <v>128</v>
      </c>
      <c t="s" s="30" r="E585">
        <v>4</v>
      </c>
      <c t="s" s="30" r="F585">
        <v>4</v>
      </c>
      <c t="s" s="30" r="G585">
        <v>209</v>
      </c>
      <c t="str" s="12" r="H585">
        <f>HYPERLINK("http://sofifa.com/en/fifa13winter/player/147254-juan-camilo-zuniga","J. Zúñiga")</f>
        <v>J. Zúñiga</v>
      </c>
      <c s="30" r="I585">
        <v>79</v>
      </c>
      <c t="s" s="30" r="J585">
        <v>128</v>
      </c>
      <c t="s" s="30" r="K585">
        <v>187</v>
      </c>
      <c t="s" s="30" r="L585">
        <v>146</v>
      </c>
      <c s="30" r="M585">
        <v>26</v>
      </c>
      <c s="26" r="N585">
        <v>7.4</v>
      </c>
      <c s="23" r="O585">
        <v>0.022</v>
      </c>
      <c s="7" r="P585"/>
      <c s="7" r="Q585"/>
      <c s="7" r="R585">
        <f>IF((P585&gt;0),O585,0)</f>
        <v>0</v>
      </c>
      <c t="str" r="S585">
        <f>CONCATENATE(F585,E585)</f>
        <v>NON FTLNON FTL</v>
      </c>
    </row>
    <row r="586">
      <c t="s" s="7" r="A586">
        <v>201</v>
      </c>
      <c s="7" r="B586">
        <v>585</v>
      </c>
      <c s="30" r="C586">
        <v>17</v>
      </c>
      <c t="s" s="30" r="D586">
        <v>162</v>
      </c>
      <c t="s" s="30" r="E586">
        <v>4</v>
      </c>
      <c t="s" s="30" r="F586">
        <v>4</v>
      </c>
      <c t="s" s="30" r="G586">
        <v>209</v>
      </c>
      <c t="str" s="12" r="H586">
        <f>HYPERLINK("http://sofifa.com/en/fifa13winter/player/147844-marek-hamsik","M. Hamšik")</f>
        <v>M. Hamšik</v>
      </c>
      <c s="30" r="I586">
        <v>85</v>
      </c>
      <c t="s" s="30" r="J586">
        <v>162</v>
      </c>
      <c t="s" s="30" r="K586">
        <v>110</v>
      </c>
      <c t="s" s="30" r="L586">
        <v>158</v>
      </c>
      <c s="30" r="M586">
        <v>25</v>
      </c>
      <c s="26" r="N586">
        <v>22.2</v>
      </c>
      <c s="23" r="O586">
        <v>0.1</v>
      </c>
      <c s="7" r="P586"/>
      <c s="7" r="Q586"/>
      <c s="7" r="R586">
        <f>IF((P586&gt;0),O586,0)</f>
        <v>0</v>
      </c>
      <c t="str" r="S586">
        <f>CONCATENATE(F586,E586)</f>
        <v>NON FTLNON FTL</v>
      </c>
    </row>
    <row r="587">
      <c t="s" s="7" r="A587">
        <v>201</v>
      </c>
      <c s="7" r="B587">
        <v>586</v>
      </c>
      <c s="30" r="C587">
        <v>19</v>
      </c>
      <c t="s" s="30" r="D587">
        <v>131</v>
      </c>
      <c t="s" s="30" r="E587">
        <v>4</v>
      </c>
      <c t="s" s="30" r="F587">
        <v>4</v>
      </c>
      <c t="s" s="30" r="G587">
        <v>209</v>
      </c>
      <c t="str" s="12" r="H587">
        <f>HYPERLINK("http://sofifa.com/en/fifa13winter/player/146383-goran-pandev","G. Pandev")</f>
        <v>G. Pandev</v>
      </c>
      <c s="30" r="I587">
        <v>80</v>
      </c>
      <c t="s" s="30" r="J587">
        <v>129</v>
      </c>
      <c t="s" s="30" r="K587">
        <v>167</v>
      </c>
      <c t="s" s="30" r="L587">
        <v>160</v>
      </c>
      <c s="30" r="M587">
        <v>29</v>
      </c>
      <c s="26" r="N587">
        <v>10.4</v>
      </c>
      <c s="23" r="O587">
        <v>0.032</v>
      </c>
      <c s="7" r="P587"/>
      <c s="7" r="Q587"/>
      <c s="7" r="R587">
        <f>IF((P587&gt;0),O587,0)</f>
        <v>0</v>
      </c>
      <c t="str" r="S587">
        <f>CONCATENATE(F587,E587)</f>
        <v>NON FTLNON FTL</v>
      </c>
    </row>
    <row r="588">
      <c t="s" s="7" r="A588">
        <v>201</v>
      </c>
      <c s="7" r="B588">
        <v>587</v>
      </c>
      <c s="30" r="C588">
        <v>7</v>
      </c>
      <c t="s" s="30" r="D588">
        <v>133</v>
      </c>
      <c t="s" s="30" r="E588">
        <v>4</v>
      </c>
      <c t="s" s="30" r="F588">
        <v>4</v>
      </c>
      <c t="s" s="30" r="G588">
        <v>209</v>
      </c>
      <c t="str" s="12" r="H588">
        <f>HYPERLINK("http://sofifa.com/en/fifa13winter/player/147681-edinson-cavani","E. Cavani")</f>
        <v>E. Cavani</v>
      </c>
      <c s="30" r="I588">
        <v>87</v>
      </c>
      <c t="s" s="30" r="J588">
        <v>129</v>
      </c>
      <c t="s" s="30" r="K588">
        <v>167</v>
      </c>
      <c t="s" s="30" r="L588">
        <v>160</v>
      </c>
      <c s="30" r="M588">
        <v>25</v>
      </c>
      <c s="26" r="N588">
        <v>40.2</v>
      </c>
      <c s="23" r="O588">
        <v>0.17</v>
      </c>
      <c s="7" r="P588"/>
      <c s="7" r="Q588"/>
      <c s="7" r="R588">
        <f>IF((P588&gt;0),O588,0)</f>
        <v>0</v>
      </c>
      <c t="str" r="S588">
        <f>CONCATENATE(F588,E588)</f>
        <v>NON FTLNON FTL</v>
      </c>
    </row>
    <row r="589">
      <c t="s" s="7" r="A589">
        <v>201</v>
      </c>
      <c s="7" r="B589">
        <v>588</v>
      </c>
      <c s="30" r="C589">
        <v>13</v>
      </c>
      <c t="s" s="30" r="D589">
        <v>136</v>
      </c>
      <c t="s" s="30" r="E589">
        <v>4</v>
      </c>
      <c t="s" s="30" r="F589">
        <v>4</v>
      </c>
      <c t="s" s="30" r="G589">
        <v>209</v>
      </c>
      <c t="str" s="12" r="H589">
        <f>HYPERLINK("http://sofifa.com/en/fifa13winter/player/148965-omar-el-kaddouri","O. El Kaddouri")</f>
        <v>O. El Kaddouri</v>
      </c>
      <c s="30" r="I589">
        <v>73</v>
      </c>
      <c t="s" s="30" r="J589">
        <v>162</v>
      </c>
      <c t="s" s="30" r="K589">
        <v>155</v>
      </c>
      <c t="s" s="30" r="L589">
        <v>153</v>
      </c>
      <c s="30" r="M589">
        <v>22</v>
      </c>
      <c s="26" r="N589">
        <v>3.7</v>
      </c>
      <c s="23" r="O589">
        <v>0.009</v>
      </c>
      <c s="7" r="P589"/>
      <c s="7" r="Q589"/>
      <c s="7" r="R589">
        <f>IF((P589&gt;0),O589,0)</f>
        <v>0</v>
      </c>
      <c t="str" r="S589">
        <f>CONCATENATE(F589,E589)</f>
        <v>NON FTLNON FTL</v>
      </c>
    </row>
    <row r="590">
      <c t="s" s="7" r="A590">
        <v>201</v>
      </c>
      <c s="7" r="B590">
        <v>589</v>
      </c>
      <c s="30" r="C590">
        <v>24</v>
      </c>
      <c t="s" s="30" r="D590">
        <v>136</v>
      </c>
      <c t="s" s="30" r="E590">
        <v>4</v>
      </c>
      <c t="s" s="30" r="F590">
        <v>4</v>
      </c>
      <c t="s" s="30" r="G590">
        <v>209</v>
      </c>
      <c t="str" s="12" r="H590">
        <f>HYPERLINK("http://sofifa.com/en/fifa13winter/player/149252-lorenzo-insigne","L. Insigne")</f>
        <v>L. Insigne</v>
      </c>
      <c s="30" r="I590">
        <v>77</v>
      </c>
      <c t="s" s="30" r="J590">
        <v>171</v>
      </c>
      <c t="s" s="30" r="K590">
        <v>207</v>
      </c>
      <c t="s" s="30" r="L590">
        <v>210</v>
      </c>
      <c s="30" r="M590">
        <v>21</v>
      </c>
      <c s="26" r="N590">
        <v>8.4</v>
      </c>
      <c s="23" r="O590">
        <v>0.015</v>
      </c>
      <c s="7" r="P590"/>
      <c s="7" r="Q590"/>
      <c s="7" r="R590">
        <f>IF((P590&gt;0),O590,0)</f>
        <v>0</v>
      </c>
      <c t="str" r="S590">
        <f>CONCATENATE(F590,E590)</f>
        <v>NON FTLNON FTL</v>
      </c>
    </row>
    <row r="591">
      <c t="s" s="7" r="A591">
        <v>201</v>
      </c>
      <c s="7" r="B591">
        <v>590</v>
      </c>
      <c s="30" r="C591">
        <v>27</v>
      </c>
      <c t="s" s="30" r="D591">
        <v>136</v>
      </c>
      <c t="s" s="30" r="E591">
        <v>4</v>
      </c>
      <c t="s" s="30" r="F591">
        <v>4</v>
      </c>
      <c t="s" s="30" r="G591">
        <v>209</v>
      </c>
      <c t="str" s="12" r="H591">
        <f>HYPERLINK("http://sofifa.com/en/fifa13winter/player/147577-pablo-armero","P. Armero")</f>
        <v>P. Armero</v>
      </c>
      <c s="30" r="I591">
        <v>78</v>
      </c>
      <c t="s" s="30" r="J591">
        <v>128</v>
      </c>
      <c t="s" s="30" r="K591">
        <v>182</v>
      </c>
      <c t="s" s="30" r="L591">
        <v>142</v>
      </c>
      <c s="30" r="M591">
        <v>25</v>
      </c>
      <c s="26" r="N591">
        <v>6.8</v>
      </c>
      <c s="23" r="O591">
        <v>0.019</v>
      </c>
      <c s="7" r="P591"/>
      <c s="7" r="Q591"/>
      <c s="7" r="R591">
        <f>IF((P591&gt;0),O591,0)</f>
        <v>0</v>
      </c>
      <c t="str" r="S591">
        <f>CONCATENATE(F591,E591)</f>
        <v>NON FTLNON FTL</v>
      </c>
    </row>
    <row r="592">
      <c t="s" s="7" r="A592">
        <v>201</v>
      </c>
      <c s="7" r="B592">
        <v>591</v>
      </c>
      <c s="30" r="C592">
        <v>6</v>
      </c>
      <c t="s" s="30" r="D592">
        <v>136</v>
      </c>
      <c t="s" s="30" r="E592">
        <v>4</v>
      </c>
      <c t="s" s="30" r="F592">
        <v>4</v>
      </c>
      <c t="s" s="30" r="G592">
        <v>209</v>
      </c>
      <c t="str" s="12" r="H592">
        <f>HYPERLINK("http://sofifa.com/en/fifa13winter/player/147149-rolando-jorge-pires-da-fonseca","Rolando")</f>
        <v>Rolando</v>
      </c>
      <c s="30" r="I592">
        <v>78</v>
      </c>
      <c t="s" s="30" r="J592">
        <v>113</v>
      </c>
      <c t="s" s="30" r="K592">
        <v>152</v>
      </c>
      <c t="s" s="30" r="L592">
        <v>153</v>
      </c>
      <c s="30" r="M592">
        <v>27</v>
      </c>
      <c s="26" r="N592">
        <v>6.2</v>
      </c>
      <c s="23" r="O592">
        <v>0.019</v>
      </c>
      <c s="7" r="P592"/>
      <c s="7" r="Q592"/>
      <c s="7" r="R592">
        <f>IF((P592&gt;0),O592,0)</f>
        <v>0</v>
      </c>
      <c t="str" r="S592">
        <f>CONCATENATE(F592,E592)</f>
        <v>NON FTLNON FTL</v>
      </c>
    </row>
    <row r="593">
      <c t="s" s="7" r="A593">
        <v>201</v>
      </c>
      <c s="7" r="B593">
        <v>592</v>
      </c>
      <c s="30" r="C593">
        <v>88</v>
      </c>
      <c t="s" s="30" r="D593">
        <v>136</v>
      </c>
      <c t="s" s="30" r="E593">
        <v>4</v>
      </c>
      <c t="s" s="30" r="F593">
        <v>4</v>
      </c>
      <c t="s" s="30" r="G593">
        <v>209</v>
      </c>
      <c t="str" s="12" r="H593">
        <f>HYPERLINK("http://sofifa.com/en/fifa13winter/player/146719-gokhan-inler","G. Inler")</f>
        <v>G. Inler</v>
      </c>
      <c s="30" r="I593">
        <v>82</v>
      </c>
      <c t="s" s="30" r="J593">
        <v>124</v>
      </c>
      <c t="s" s="30" r="K593">
        <v>110</v>
      </c>
      <c t="s" s="30" r="L593">
        <v>153</v>
      </c>
      <c s="30" r="M593">
        <v>28</v>
      </c>
      <c s="26" r="N593">
        <v>13.5</v>
      </c>
      <c s="23" r="O593">
        <v>0.055</v>
      </c>
      <c s="7" r="P593"/>
      <c s="7" r="Q593"/>
      <c s="7" r="R593">
        <f>IF((P593&gt;0),O593,0)</f>
        <v>0</v>
      </c>
      <c t="str" r="S593">
        <f>CONCATENATE(F593,E593)</f>
        <v>NON FTLNON FTL</v>
      </c>
    </row>
    <row r="594">
      <c t="s" s="7" r="A594">
        <v>201</v>
      </c>
      <c s="7" r="B594">
        <v>593</v>
      </c>
      <c s="30" r="C594">
        <v>55</v>
      </c>
      <c t="s" s="30" r="D594">
        <v>136</v>
      </c>
      <c t="s" s="30" r="E594">
        <v>4</v>
      </c>
      <c t="s" s="30" r="F594">
        <v>4</v>
      </c>
      <c t="s" s="30" r="G594">
        <v>209</v>
      </c>
      <c t="str" s="12" r="H594">
        <f>HYPERLINK("http://sofifa.com/en/fifa13winter/player/145684-alessandro-gamberini","A. Gamberini")</f>
        <v>A. Gamberini</v>
      </c>
      <c s="30" r="I594">
        <v>78</v>
      </c>
      <c t="s" s="30" r="J594">
        <v>113</v>
      </c>
      <c t="s" s="30" r="K594">
        <v>132</v>
      </c>
      <c t="s" s="30" r="L594">
        <v>153</v>
      </c>
      <c s="30" r="M594">
        <v>31</v>
      </c>
      <c s="26" r="N594">
        <v>5.1</v>
      </c>
      <c s="23" r="O594">
        <v>0.022</v>
      </c>
      <c s="7" r="P594"/>
      <c s="7" r="Q594"/>
      <c s="7" r="R594">
        <f>IF((P594&gt;0),O594,0)</f>
        <v>0</v>
      </c>
      <c t="str" r="S594">
        <f>CONCATENATE(F594,E594)</f>
        <v>NON FTLNON FTL</v>
      </c>
    </row>
    <row r="595">
      <c t="s" s="7" r="A595">
        <v>201</v>
      </c>
      <c s="7" r="B595">
        <v>594</v>
      </c>
      <c s="30" r="C595">
        <v>4</v>
      </c>
      <c t="s" s="30" r="D595">
        <v>136</v>
      </c>
      <c t="s" s="30" r="E595">
        <v>4</v>
      </c>
      <c t="s" s="30" r="F595">
        <v>4</v>
      </c>
      <c t="s" s="30" r="G595">
        <v>209</v>
      </c>
      <c t="str" s="12" r="H595">
        <f>HYPERLINK("http://sofifa.com/en/fifa13winter/player/146286-marco-donadel","M. Donadel")</f>
        <v>M. Donadel</v>
      </c>
      <c s="30" r="I595">
        <v>72</v>
      </c>
      <c t="s" s="30" r="J595">
        <v>154</v>
      </c>
      <c t="s" s="30" r="K595">
        <v>145</v>
      </c>
      <c t="s" s="30" r="L595">
        <v>151</v>
      </c>
      <c s="30" r="M595">
        <v>29</v>
      </c>
      <c s="26" r="N595">
        <v>2.2</v>
      </c>
      <c s="23" r="O595">
        <v>0.009</v>
      </c>
      <c s="7" r="P595"/>
      <c s="7" r="Q595"/>
      <c s="7" r="R595">
        <f>IF((P595&gt;0),O595,0)</f>
        <v>0</v>
      </c>
      <c t="str" r="S595">
        <f>CONCATENATE(F595,E595)</f>
        <v>NON FTLNON FTL</v>
      </c>
    </row>
    <row r="596">
      <c t="s" s="7" r="A596">
        <v>201</v>
      </c>
      <c s="7" r="B596">
        <v>595</v>
      </c>
      <c s="30" r="C596">
        <v>16</v>
      </c>
      <c t="s" s="30" r="D596">
        <v>136</v>
      </c>
      <c t="s" s="30" r="E596">
        <v>4</v>
      </c>
      <c t="s" s="30" r="F596">
        <v>4</v>
      </c>
      <c t="s" s="30" r="G596">
        <v>209</v>
      </c>
      <c t="str" s="12" r="H596">
        <f>HYPERLINK("http://sofifa.com/en/fifa13winter/player/145955-giandomenico-mesto","G. Mesto")</f>
        <v>G. Mesto</v>
      </c>
      <c s="30" r="I596">
        <v>74</v>
      </c>
      <c t="s" s="30" r="J596">
        <v>109</v>
      </c>
      <c t="s" s="30" r="K596">
        <v>150</v>
      </c>
      <c t="s" s="30" r="L596">
        <v>158</v>
      </c>
      <c s="30" r="M596">
        <v>30</v>
      </c>
      <c s="26" r="N596">
        <v>2.7</v>
      </c>
      <c s="23" r="O596">
        <v>0.012</v>
      </c>
      <c s="7" r="P596"/>
      <c s="7" r="Q596"/>
      <c s="7" r="R596">
        <f>IF((P596&gt;0),O596,0)</f>
        <v>0</v>
      </c>
      <c t="str" r="S596">
        <f>CONCATENATE(F596,E596)</f>
        <v>NON FTLNON FTL</v>
      </c>
    </row>
    <row r="597">
      <c t="s" s="7" r="A597">
        <v>201</v>
      </c>
      <c s="7" r="B597">
        <v>596</v>
      </c>
      <c s="30" r="C597">
        <v>2</v>
      </c>
      <c t="s" s="30" r="D597">
        <v>136</v>
      </c>
      <c t="s" s="30" r="E597">
        <v>4</v>
      </c>
      <c t="s" s="30" r="F597">
        <v>4</v>
      </c>
      <c t="s" s="30" r="G597">
        <v>209</v>
      </c>
      <c t="str" s="12" r="H597">
        <f>HYPERLINK("http://sofifa.com/en/fifa13winter/player/144050-gianluca-grava","G. Grava")</f>
        <v>G. Grava</v>
      </c>
      <c s="30" r="I597">
        <v>71</v>
      </c>
      <c t="s" s="30" r="J597">
        <v>113</v>
      </c>
      <c t="s" s="30" r="K597">
        <v>187</v>
      </c>
      <c t="s" s="30" r="L597">
        <v>115</v>
      </c>
      <c s="30" r="M597">
        <v>35</v>
      </c>
      <c s="26" r="N597">
        <v>1.3</v>
      </c>
      <c s="23" r="O597">
        <v>0.01</v>
      </c>
      <c s="7" r="P597"/>
      <c s="7" r="Q597"/>
      <c s="7" r="R597">
        <f>IF((P597&gt;0),O597,0)</f>
        <v>0</v>
      </c>
      <c t="str" r="S597">
        <f>CONCATENATE(F597,E597)</f>
        <v>NON FTLNON FTL</v>
      </c>
    </row>
    <row r="598">
      <c t="s" s="7" r="A598">
        <v>201</v>
      </c>
      <c s="7" r="B598">
        <v>597</v>
      </c>
      <c s="30" r="C598">
        <v>9</v>
      </c>
      <c t="s" s="30" r="D598">
        <v>136</v>
      </c>
      <c t="s" s="30" r="E598">
        <v>4</v>
      </c>
      <c t="s" s="30" r="F598">
        <v>4</v>
      </c>
      <c t="s" s="30" r="G598">
        <v>209</v>
      </c>
      <c t="str" s="12" r="H598">
        <f>HYPERLINK("http://sofifa.com/en/fifa13winter/player/145818-emanuele-calaio","E. Calaió")</f>
        <v>E. Calaió</v>
      </c>
      <c s="30" r="I598">
        <v>76</v>
      </c>
      <c t="s" s="30" r="J598">
        <v>129</v>
      </c>
      <c t="s" s="30" r="K598">
        <v>145</v>
      </c>
      <c t="s" s="30" r="L598">
        <v>151</v>
      </c>
      <c s="30" r="M598">
        <v>30</v>
      </c>
      <c s="26" r="N598">
        <v>5</v>
      </c>
      <c s="23" r="O598">
        <v>0.017</v>
      </c>
      <c s="7" r="P598"/>
      <c s="7" r="Q598"/>
      <c s="7" r="R598">
        <f>IF((P598&gt;0),O598,0)</f>
        <v>0</v>
      </c>
      <c t="str" r="S598">
        <f>CONCATENATE(F598,E598)</f>
        <v>NON FTLNON FTL</v>
      </c>
    </row>
    <row r="599">
      <c t="s" s="7" r="A599">
        <v>201</v>
      </c>
      <c s="7" r="B599">
        <v>598</v>
      </c>
      <c s="30" r="C599">
        <v>22</v>
      </c>
      <c t="s" s="30" r="D599">
        <v>136</v>
      </c>
      <c t="s" s="30" r="E599">
        <v>4</v>
      </c>
      <c t="s" s="30" r="F599">
        <v>4</v>
      </c>
      <c t="s" s="30" r="G599">
        <v>209</v>
      </c>
      <c t="str" s="12" r="H599">
        <f>HYPERLINK("http://sofifa.com/en/fifa13winter/player/146352-antonio-rosati","A. Rosati")</f>
        <v>A. Rosati</v>
      </c>
      <c s="30" r="I599">
        <v>69</v>
      </c>
      <c t="s" s="30" r="J599">
        <v>106</v>
      </c>
      <c t="s" s="30" r="K599">
        <v>176</v>
      </c>
      <c t="s" s="30" r="L599">
        <v>178</v>
      </c>
      <c s="30" r="M599">
        <v>29</v>
      </c>
      <c s="26" r="N599">
        <v>1.3</v>
      </c>
      <c s="23" r="O599">
        <v>0.007</v>
      </c>
      <c s="7" r="P599"/>
      <c s="7" r="Q599"/>
      <c s="7" r="R599">
        <f>IF((P599&gt;0),O599,0)</f>
        <v>0</v>
      </c>
      <c t="str" r="S599">
        <f>CONCATENATE(F599,E599)</f>
        <v>NON FTLNON FTL</v>
      </c>
    </row>
    <row r="600">
      <c t="s" s="7" r="A600">
        <v>201</v>
      </c>
      <c s="7" r="B600">
        <v>599</v>
      </c>
      <c s="30" r="C600">
        <v>42</v>
      </c>
      <c t="s" s="30" r="D600">
        <v>136</v>
      </c>
      <c t="s" s="30" r="E600">
        <v>4</v>
      </c>
      <c t="s" s="30" r="F600">
        <v>4</v>
      </c>
      <c t="s" s="30" r="G600">
        <v>209</v>
      </c>
      <c t="str" s="12" r="H600">
        <f>HYPERLINK("http://sofifa.com/en/fifa13winter/player/150324-roberto-insigne","R. Insigne")</f>
        <v>R. Insigne</v>
      </c>
      <c s="30" r="I600">
        <v>61</v>
      </c>
      <c t="s" s="30" r="J600">
        <v>171</v>
      </c>
      <c t="s" s="30" r="K600">
        <v>187</v>
      </c>
      <c t="s" s="30" r="L600">
        <v>149</v>
      </c>
      <c s="30" r="M600">
        <v>18</v>
      </c>
      <c s="26" r="N600">
        <v>0.8</v>
      </c>
      <c s="23" r="O600">
        <v>0.003</v>
      </c>
      <c s="7" r="P600"/>
      <c s="7" r="Q600"/>
      <c s="7" r="R600">
        <f>IF((P600&gt;0),O600,0)</f>
        <v>0</v>
      </c>
      <c t="str" r="S600">
        <f>CONCATENATE(F600,E600)</f>
        <v>NON FTLNON FTL</v>
      </c>
    </row>
    <row r="601">
      <c t="s" s="7" r="A601">
        <v>201</v>
      </c>
      <c s="7" r="B601">
        <v>600</v>
      </c>
      <c s="30" r="C601">
        <v>15</v>
      </c>
      <c t="s" s="30" r="D601">
        <v>147</v>
      </c>
      <c t="s" s="30" r="E601">
        <v>4</v>
      </c>
      <c t="s" s="30" r="F601">
        <v>4</v>
      </c>
      <c t="s" s="30" r="G601">
        <v>209</v>
      </c>
      <c t="str" s="12" r="H601">
        <f>HYPERLINK("http://sofifa.com/en/fifa13winter/player/143489-roberto-colombo","R. Colombo")</f>
        <v>R. Colombo</v>
      </c>
      <c s="30" r="I601">
        <v>65</v>
      </c>
      <c t="s" s="30" r="J601">
        <v>106</v>
      </c>
      <c t="s" s="30" r="K601">
        <v>152</v>
      </c>
      <c t="s" s="30" r="L601">
        <v>153</v>
      </c>
      <c s="30" r="M601">
        <v>37</v>
      </c>
      <c s="26" r="N601">
        <v>0.4</v>
      </c>
      <c s="23" r="O601">
        <v>0.006</v>
      </c>
      <c s="7" r="P601"/>
      <c s="7" r="Q601"/>
      <c s="7" r="R601">
        <f>IF((P601&gt;0),O601,0)</f>
        <v>0</v>
      </c>
      <c t="str" r="S601">
        <f>CONCATENATE(F601,E601)</f>
        <v>NON FTLNON FTL</v>
      </c>
    </row>
    <row r="602">
      <c t="s" s="7" r="A602">
        <v>201</v>
      </c>
      <c s="7" r="B602">
        <v>601</v>
      </c>
      <c s="30" r="C602">
        <v>86</v>
      </c>
      <c t="s" s="30" r="D602">
        <v>147</v>
      </c>
      <c t="s" s="30" r="E602">
        <v>4</v>
      </c>
      <c t="s" s="30" r="F602">
        <v>4</v>
      </c>
      <c t="s" s="30" r="G602">
        <v>209</v>
      </c>
      <c t="str" s="12" r="H602">
        <f>HYPERLINK("http://sofifa.com/en/fifa13winter/player/150360-soma-novothny","S. Novothny")</f>
        <v>S. Novothny</v>
      </c>
      <c s="30" r="I602">
        <v>60</v>
      </c>
      <c t="s" s="30" r="J602">
        <v>129</v>
      </c>
      <c t="s" s="30" r="K602">
        <v>132</v>
      </c>
      <c t="s" s="30" r="L602">
        <v>151</v>
      </c>
      <c s="30" r="M602">
        <v>18</v>
      </c>
      <c s="26" r="N602">
        <v>0.7</v>
      </c>
      <c s="23" r="O602">
        <v>0.002</v>
      </c>
      <c s="7" r="P602"/>
      <c s="7" r="Q602"/>
      <c s="7" r="R602">
        <f>IF((P602&gt;0),O602,0)</f>
        <v>0</v>
      </c>
      <c t="str" r="S602">
        <f>CONCATENATE(F602,E602)</f>
        <v>NON FTLNON FTL</v>
      </c>
    </row>
    <row r="603">
      <c t="s" s="7" r="A603">
        <v>201</v>
      </c>
      <c s="7" r="B603">
        <v>602</v>
      </c>
      <c s="30" r="C603">
        <v>25</v>
      </c>
      <c t="s" s="30" r="D603">
        <v>147</v>
      </c>
      <c t="s" s="30" r="E603">
        <v>4</v>
      </c>
      <c t="s" s="30" r="F603">
        <v>4</v>
      </c>
      <c t="s" s="30" r="G603">
        <v>209</v>
      </c>
      <c t="str" s="12" r="H603">
        <f>HYPERLINK("http://sofifa.com/en/fifa13winter/player/150286-josip-radosevic","J. Radošević")</f>
        <v>J. Radošević</v>
      </c>
      <c s="30" r="I603">
        <v>66</v>
      </c>
      <c t="s" s="30" r="J603">
        <v>154</v>
      </c>
      <c t="s" s="30" r="K603">
        <v>114</v>
      </c>
      <c t="s" s="30" r="L603">
        <v>160</v>
      </c>
      <c s="30" r="M603">
        <v>18</v>
      </c>
      <c s="26" r="N603">
        <v>1.3</v>
      </c>
      <c s="23" r="O603">
        <v>0.004</v>
      </c>
      <c s="7" r="P603"/>
      <c s="7" r="Q603"/>
      <c s="7" r="R603">
        <f>IF((P603&gt;0),O603,0)</f>
        <v>0</v>
      </c>
      <c t="str" r="S603">
        <f>CONCATENATE(F603,E603)</f>
        <v>NON FTLNON FTL</v>
      </c>
    </row>
    <row r="604">
      <c t="s" s="7" r="A604">
        <v>201</v>
      </c>
      <c s="7" r="B604">
        <v>603</v>
      </c>
      <c s="30" r="C604">
        <v>12</v>
      </c>
      <c t="s" s="30" r="D604">
        <v>147</v>
      </c>
      <c t="s" s="30" r="E604">
        <v>4</v>
      </c>
      <c t="s" s="30" r="F604">
        <v>4</v>
      </c>
      <c t="s" s="30" r="G604">
        <v>209</v>
      </c>
      <c t="str" s="12" r="H604">
        <f>HYPERLINK("http://sofifa.com/en/fifa13winter/player/150441-diamante-crispino","D. Crispino")</f>
        <v>D. Crispino</v>
      </c>
      <c s="30" r="I604">
        <v>59</v>
      </c>
      <c t="s" s="30" r="J604">
        <v>106</v>
      </c>
      <c t="s" s="30" r="K604">
        <v>167</v>
      </c>
      <c t="s" s="30" r="L604">
        <v>137</v>
      </c>
      <c s="30" r="M604">
        <v>17</v>
      </c>
      <c s="26" r="N604">
        <v>0.4</v>
      </c>
      <c s="23" r="O604">
        <v>0.002</v>
      </c>
      <c s="7" r="P604"/>
      <c s="7" r="Q604"/>
      <c s="7" r="R604">
        <f>IF((P604&gt;0),O604,0)</f>
        <v>0</v>
      </c>
      <c t="str" r="S604">
        <f>CONCATENATE(F604,E604)</f>
        <v>NON FTLNON FTL</v>
      </c>
    </row>
    <row r="605">
      <c t="s" s="7" r="A605">
        <v>201</v>
      </c>
      <c s="7" r="B605">
        <v>604</v>
      </c>
      <c s="30" r="C605">
        <v>1</v>
      </c>
      <c t="s" s="30" r="D605">
        <v>106</v>
      </c>
      <c t="s" s="30" r="E605">
        <v>4</v>
      </c>
      <c t="s" s="30" r="F605">
        <v>4</v>
      </c>
      <c t="s" s="30" r="G605">
        <v>211</v>
      </c>
      <c t="str" s="12" r="H605">
        <f>HYPERLINK("http://sofifa.com/en/fifa13winter/player/145470-artur-guilherme-moraes-gusmao","Artur Moraes")</f>
        <v>Artur Moraes</v>
      </c>
      <c s="30" r="I605">
        <v>79</v>
      </c>
      <c t="s" s="30" r="J605">
        <v>106</v>
      </c>
      <c t="s" s="30" r="K605">
        <v>165</v>
      </c>
      <c t="s" s="30" r="L605">
        <v>178</v>
      </c>
      <c s="30" r="M605">
        <v>31</v>
      </c>
      <c s="26" r="N605">
        <v>4.8</v>
      </c>
      <c s="23" r="O605">
        <v>0.025</v>
      </c>
      <c s="7" r="P605"/>
      <c s="7" r="Q605"/>
      <c s="7" r="R605">
        <f>IF((P605&gt;0),O605,0)</f>
        <v>0</v>
      </c>
      <c t="str" r="S605">
        <f>CONCATENATE(F605,E605)</f>
        <v>NON FTLNON FTL</v>
      </c>
    </row>
    <row r="606">
      <c t="s" s="7" r="A606">
        <v>201</v>
      </c>
      <c s="7" r="B606">
        <v>605</v>
      </c>
      <c s="30" r="C606">
        <v>14</v>
      </c>
      <c t="s" s="30" r="D606">
        <v>109</v>
      </c>
      <c t="s" s="30" r="E606">
        <v>4</v>
      </c>
      <c t="s" s="30" r="F606">
        <v>4</v>
      </c>
      <c t="s" s="30" r="G606">
        <v>211</v>
      </c>
      <c t="str" s="12" r="H606">
        <f>HYPERLINK("http://sofifa.com/en/fifa13winter/player/146700-maximiliano-pereira","M. Pereira")</f>
        <v>M. Pereira</v>
      </c>
      <c s="30" r="I606">
        <v>77</v>
      </c>
      <c t="s" s="30" r="J606">
        <v>109</v>
      </c>
      <c t="s" s="30" r="K606">
        <v>130</v>
      </c>
      <c t="s" s="30" r="L606">
        <v>122</v>
      </c>
      <c s="30" r="M606">
        <v>28</v>
      </c>
      <c s="26" r="N606">
        <v>5</v>
      </c>
      <c s="23" r="O606">
        <v>0.017</v>
      </c>
      <c s="7" r="P606"/>
      <c s="7" r="Q606"/>
      <c s="7" r="R606">
        <f>IF((P606&gt;0),O606,0)</f>
        <v>0</v>
      </c>
      <c t="str" r="S606">
        <f>CONCATENATE(F606,E606)</f>
        <v>NON FTLNON FTL</v>
      </c>
    </row>
    <row r="607">
      <c t="s" s="7" r="A607">
        <v>201</v>
      </c>
      <c s="7" r="B607">
        <v>606</v>
      </c>
      <c s="30" r="C607">
        <v>4</v>
      </c>
      <c t="s" s="30" r="D607">
        <v>112</v>
      </c>
      <c t="s" s="30" r="E607">
        <v>4</v>
      </c>
      <c t="s" s="30" r="F607">
        <v>4</v>
      </c>
      <c t="s" s="30" r="G607">
        <v>211</v>
      </c>
      <c t="str" s="12" r="H607">
        <f>HYPERLINK("http://sofifa.com/en/fifa13winter/player/145489-anderson-luis-da-silva","Luisão")</f>
        <v>Luisão</v>
      </c>
      <c s="30" r="I607">
        <v>80</v>
      </c>
      <c t="s" s="30" r="J607">
        <v>113</v>
      </c>
      <c t="s" s="30" r="K607">
        <v>165</v>
      </c>
      <c t="s" s="30" r="L607">
        <v>183</v>
      </c>
      <c s="30" r="M607">
        <v>31</v>
      </c>
      <c s="26" r="N607">
        <v>7.6</v>
      </c>
      <c s="23" r="O607">
        <v>0.035</v>
      </c>
      <c s="7" r="P607"/>
      <c s="7" r="Q607"/>
      <c s="7" r="R607">
        <f>IF((P607&gt;0),O607,0)</f>
        <v>0</v>
      </c>
      <c t="str" r="S607">
        <f>CONCATENATE(F607,E607)</f>
        <v>NON FTLNON FTL</v>
      </c>
    </row>
    <row r="608">
      <c t="s" s="7" r="A608">
        <v>201</v>
      </c>
      <c s="7" r="B608">
        <v>607</v>
      </c>
      <c s="30" r="C608">
        <v>24</v>
      </c>
      <c t="s" s="30" r="D608">
        <v>116</v>
      </c>
      <c t="s" s="30" r="E608">
        <v>4</v>
      </c>
      <c t="s" s="30" r="F608">
        <v>4</v>
      </c>
      <c t="s" s="30" r="G608">
        <v>211</v>
      </c>
      <c t="str" s="12" r="H608">
        <f>HYPERLINK("http://sofifa.com/en/fifa13winter/player/147554-ezequiel-garay","E. Garay")</f>
        <v>E. Garay</v>
      </c>
      <c s="30" r="I608">
        <v>82</v>
      </c>
      <c t="s" s="30" r="J608">
        <v>113</v>
      </c>
      <c t="s" s="30" r="K608">
        <v>165</v>
      </c>
      <c t="s" s="30" r="L608">
        <v>179</v>
      </c>
      <c s="30" r="M608">
        <v>25</v>
      </c>
      <c s="26" r="N608">
        <v>13.4</v>
      </c>
      <c s="23" r="O608">
        <v>0.053</v>
      </c>
      <c s="7" r="P608"/>
      <c s="7" r="Q608"/>
      <c s="7" r="R608">
        <f>IF((P608&gt;0),O608,0)</f>
        <v>0</v>
      </c>
      <c t="str" r="S608">
        <f>CONCATENATE(F608,E608)</f>
        <v>NON FTLNON FTL</v>
      </c>
    </row>
    <row r="609">
      <c t="s" s="7" r="A609">
        <v>201</v>
      </c>
      <c s="7" r="B609">
        <v>608</v>
      </c>
      <c s="30" r="C609">
        <v>25</v>
      </c>
      <c t="s" s="30" r="D609">
        <v>117</v>
      </c>
      <c t="s" s="30" r="E609">
        <v>4</v>
      </c>
      <c t="s" s="30" r="F609">
        <v>4</v>
      </c>
      <c t="s" s="30" r="G609">
        <v>211</v>
      </c>
      <c t="str" s="12" r="H609">
        <f>HYPERLINK("http://sofifa.com/en/fifa13winter/player/148954-lorenzo-melgarejo","L. Melgarejo")</f>
        <v>L. Melgarejo</v>
      </c>
      <c s="30" r="I609">
        <v>73</v>
      </c>
      <c t="s" s="30" r="J609">
        <v>117</v>
      </c>
      <c t="s" s="30" r="K609">
        <v>118</v>
      </c>
      <c t="s" s="30" r="L609">
        <v>146</v>
      </c>
      <c s="30" r="M609">
        <v>22</v>
      </c>
      <c s="26" r="N609">
        <v>3</v>
      </c>
      <c s="23" r="O609">
        <v>0.009</v>
      </c>
      <c s="7" r="P609"/>
      <c s="7" r="Q609"/>
      <c s="7" r="R609">
        <f>IF((P609&gt;0),O609,0)</f>
        <v>0</v>
      </c>
      <c t="str" r="S609">
        <f>CONCATENATE(F609,E609)</f>
        <v>NON FTLNON FTL</v>
      </c>
    </row>
    <row r="610">
      <c t="s" s="7" r="A610">
        <v>201</v>
      </c>
      <c s="7" r="B610">
        <v>609</v>
      </c>
      <c s="30" r="C610">
        <v>21</v>
      </c>
      <c t="s" s="30" r="D610">
        <v>154</v>
      </c>
      <c t="s" s="30" r="E610">
        <v>4</v>
      </c>
      <c t="s" s="30" r="F610">
        <v>4</v>
      </c>
      <c t="s" s="30" r="G610">
        <v>211</v>
      </c>
      <c t="str" s="12" r="H610">
        <f>HYPERLINK("http://sofifa.com/en/fifa13winter/player/148215-nemanja-matic","N. Matić")</f>
        <v>N. Matić</v>
      </c>
      <c s="30" r="I610">
        <v>80</v>
      </c>
      <c t="s" s="30" r="J610">
        <v>154</v>
      </c>
      <c t="s" s="30" r="K610">
        <v>188</v>
      </c>
      <c t="s" s="30" r="L610">
        <v>108</v>
      </c>
      <c s="30" r="M610">
        <v>24</v>
      </c>
      <c s="26" r="N610">
        <v>9.2</v>
      </c>
      <c s="23" r="O610">
        <v>0.03</v>
      </c>
      <c s="7" r="P610"/>
      <c s="7" r="Q610"/>
      <c s="7" r="R610">
        <f>IF((P610&gt;0),O610,0)</f>
        <v>0</v>
      </c>
      <c t="str" r="S610">
        <f>CONCATENATE(F610,E610)</f>
        <v>NON FTLNON FTL</v>
      </c>
    </row>
    <row r="611">
      <c t="s" s="7" r="A611">
        <v>201</v>
      </c>
      <c s="7" r="B611">
        <v>610</v>
      </c>
      <c s="30" r="C611">
        <v>18</v>
      </c>
      <c t="s" s="30" r="D611">
        <v>120</v>
      </c>
      <c t="s" s="30" r="E611">
        <v>4</v>
      </c>
      <c t="s" s="30" r="F611">
        <v>4</v>
      </c>
      <c t="s" s="30" r="G611">
        <v>211</v>
      </c>
      <c t="str" s="12" r="H611">
        <f>HYPERLINK("http://sofifa.com/en/fifa13winter/player/148926-eduardo-salvio","E. Salvio")</f>
        <v>E. Salvio</v>
      </c>
      <c s="30" r="I611">
        <v>78</v>
      </c>
      <c t="s" s="30" r="J611">
        <v>120</v>
      </c>
      <c t="s" s="30" r="K611">
        <v>195</v>
      </c>
      <c t="s" s="30" r="L611">
        <v>122</v>
      </c>
      <c s="30" r="M611">
        <v>22</v>
      </c>
      <c s="26" r="N611">
        <v>7.2</v>
      </c>
      <c s="23" r="O611">
        <v>0.017</v>
      </c>
      <c s="7" r="P611"/>
      <c s="7" r="Q611"/>
      <c s="7" r="R611">
        <f>IF((P611&gt;0),O611,0)</f>
        <v>0</v>
      </c>
      <c t="str" r="S611">
        <f>CONCATENATE(F611,E611)</f>
        <v>NON FTLNON FTL</v>
      </c>
    </row>
    <row r="612">
      <c t="s" s="7" r="A612">
        <v>201</v>
      </c>
      <c s="7" r="B612">
        <v>611</v>
      </c>
      <c s="30" r="C612">
        <v>35</v>
      </c>
      <c t="s" s="30" r="D612">
        <v>124</v>
      </c>
      <c t="s" s="30" r="E612">
        <v>4</v>
      </c>
      <c t="s" s="30" r="F612">
        <v>4</v>
      </c>
      <c t="s" s="30" r="G612">
        <v>211</v>
      </c>
      <c t="str" s="12" r="H612">
        <f>HYPERLINK("http://sofifa.com/en/fifa13winter/player/147324-enzo-perez","E. Pérez")</f>
        <v>E. Pérez</v>
      </c>
      <c s="30" r="I612">
        <v>77</v>
      </c>
      <c t="s" s="30" r="J612">
        <v>124</v>
      </c>
      <c t="s" s="30" r="K612">
        <v>159</v>
      </c>
      <c t="s" s="30" r="L612">
        <v>138</v>
      </c>
      <c s="30" r="M612">
        <v>26</v>
      </c>
      <c s="26" r="N612">
        <v>6.1</v>
      </c>
      <c s="23" r="O612">
        <v>0.017</v>
      </c>
      <c s="7" r="P612"/>
      <c s="7" r="Q612"/>
      <c s="7" r="R612">
        <f>IF((P612&gt;0),O612,0)</f>
        <v>0</v>
      </c>
      <c t="str" r="S612">
        <f>CONCATENATE(F612,E612)</f>
        <v>NON FTLNON FTL</v>
      </c>
    </row>
    <row r="613">
      <c t="s" s="7" r="A613">
        <v>201</v>
      </c>
      <c s="7" r="B613">
        <v>612</v>
      </c>
      <c s="30" r="C613">
        <v>20</v>
      </c>
      <c t="s" s="30" r="D613">
        <v>128</v>
      </c>
      <c t="s" s="30" r="E613">
        <v>4</v>
      </c>
      <c t="s" s="30" r="F613">
        <v>4</v>
      </c>
      <c t="s" s="30" r="G613">
        <v>211</v>
      </c>
      <c t="str" s="12" r="H613">
        <f>HYPERLINK("http://sofifa.com/en/fifa13winter/player/148055-nico-gaitan","N. Gaitán")</f>
        <v>N. Gaitán</v>
      </c>
      <c s="30" r="I613">
        <v>81</v>
      </c>
      <c t="s" s="30" r="J613">
        <v>128</v>
      </c>
      <c t="s" s="30" r="K613">
        <v>130</v>
      </c>
      <c t="s" s="30" r="L613">
        <v>163</v>
      </c>
      <c s="30" r="M613">
        <v>24</v>
      </c>
      <c s="26" r="N613">
        <v>13.9</v>
      </c>
      <c s="23" r="O613">
        <v>0.04</v>
      </c>
      <c s="7" r="P613"/>
      <c s="7" r="Q613"/>
      <c s="7" r="R613">
        <f>IF((P613&gt;0),O613,0)</f>
        <v>0</v>
      </c>
      <c t="str" r="S613">
        <f>CONCATENATE(F613,E613)</f>
        <v>NON FTLNON FTL</v>
      </c>
    </row>
    <row r="614">
      <c t="s" s="7" r="A614">
        <v>201</v>
      </c>
      <c s="7" r="B614">
        <v>613</v>
      </c>
      <c s="30" r="C614">
        <v>7</v>
      </c>
      <c t="s" s="30" r="D614">
        <v>131</v>
      </c>
      <c t="s" s="30" r="E614">
        <v>4</v>
      </c>
      <c t="s" s="30" r="F614">
        <v>4</v>
      </c>
      <c t="s" s="30" r="G614">
        <v>211</v>
      </c>
      <c t="str" s="12" r="H614">
        <f>HYPERLINK("http://sofifa.com/en/fifa13winter/player/146315-oscar-cardozo","O. Cardozo")</f>
        <v>O. Cardozo</v>
      </c>
      <c s="30" r="I614">
        <v>82</v>
      </c>
      <c t="s" s="30" r="J614">
        <v>129</v>
      </c>
      <c t="s" s="30" r="K614">
        <v>107</v>
      </c>
      <c t="s" s="30" r="L614">
        <v>192</v>
      </c>
      <c s="30" r="M614">
        <v>29</v>
      </c>
      <c s="26" r="N614">
        <v>18.6</v>
      </c>
      <c s="23" r="O614">
        <v>0.057</v>
      </c>
      <c s="7" r="P614"/>
      <c s="7" r="Q614"/>
      <c s="7" r="R614">
        <f>IF((P614&gt;0),O614,0)</f>
        <v>0</v>
      </c>
      <c t="str" r="S614">
        <f>CONCATENATE(F614,E614)</f>
        <v>NON FTLNON FTL</v>
      </c>
    </row>
    <row r="615">
      <c t="s" s="7" r="A615">
        <v>201</v>
      </c>
      <c s="7" r="B615">
        <v>614</v>
      </c>
      <c s="30" r="C615">
        <v>11</v>
      </c>
      <c t="s" s="30" r="D615">
        <v>133</v>
      </c>
      <c t="s" s="30" r="E615">
        <v>4</v>
      </c>
      <c t="s" s="30" r="F615">
        <v>4</v>
      </c>
      <c t="s" s="30" r="G615">
        <v>211</v>
      </c>
      <c t="str" s="12" r="H615">
        <f>HYPERLINK("http://sofifa.com/en/fifa13winter/player/146484-rodrigo-jose-lima-dos-santos","Lima")</f>
        <v>Lima</v>
      </c>
      <c s="30" r="I615">
        <v>80</v>
      </c>
      <c t="s" s="30" r="J615">
        <v>129</v>
      </c>
      <c t="s" s="30" r="K615">
        <v>118</v>
      </c>
      <c t="s" s="30" r="L615">
        <v>161</v>
      </c>
      <c s="30" r="M615">
        <v>28</v>
      </c>
      <c s="26" r="N615">
        <v>10.9</v>
      </c>
      <c s="23" r="O615">
        <v>0.031</v>
      </c>
      <c s="7" r="P615"/>
      <c s="7" r="Q615"/>
      <c s="7" r="R615">
        <f>IF((P615&gt;0),O615,0)</f>
        <v>0</v>
      </c>
      <c t="str" r="S615">
        <f>CONCATENATE(F615,E615)</f>
        <v>NON FTLNON FTL</v>
      </c>
    </row>
    <row r="616">
      <c t="s" s="7" r="A616">
        <v>201</v>
      </c>
      <c s="7" r="B616">
        <v>615</v>
      </c>
      <c s="30" r="C616">
        <v>34</v>
      </c>
      <c t="s" s="30" r="D616">
        <v>136</v>
      </c>
      <c t="s" s="30" r="E616">
        <v>4</v>
      </c>
      <c t="s" s="30" r="F616">
        <v>4</v>
      </c>
      <c t="s" s="30" r="G616">
        <v>211</v>
      </c>
      <c t="str" s="12" r="H616">
        <f>HYPERLINK("http://sofifa.com/en/fifa13winter/player/148985-andre-gomes-m-de-almeida","André Almeida")</f>
        <v>André Almeida</v>
      </c>
      <c s="30" r="I616">
        <v>71</v>
      </c>
      <c t="s" s="30" r="J616">
        <v>109</v>
      </c>
      <c t="s" s="30" r="K616">
        <v>173</v>
      </c>
      <c t="s" s="30" r="L616">
        <v>151</v>
      </c>
      <c s="30" r="M616">
        <v>21</v>
      </c>
      <c s="26" r="N616">
        <v>2.3</v>
      </c>
      <c s="23" r="O616">
        <v>0.007</v>
      </c>
      <c s="7" r="P616"/>
      <c s="7" r="Q616"/>
      <c s="7" r="R616">
        <f>IF((P616&gt;0),O616,0)</f>
        <v>0</v>
      </c>
      <c t="str" r="S616">
        <f>CONCATENATE(F616,E616)</f>
        <v>NON FTLNON FTL</v>
      </c>
    </row>
    <row r="617">
      <c t="s" s="7" r="A617">
        <v>201</v>
      </c>
      <c s="7" r="B617">
        <v>616</v>
      </c>
      <c s="30" r="C617">
        <v>19</v>
      </c>
      <c t="s" s="30" r="D617">
        <v>136</v>
      </c>
      <c t="s" s="30" r="E617">
        <v>4</v>
      </c>
      <c t="s" s="30" r="F617">
        <v>4</v>
      </c>
      <c t="s" s="30" r="G617">
        <v>211</v>
      </c>
      <c t="str" s="12" r="H617">
        <f>HYPERLINK("http://sofifa.com/en/fifa13winter/player/149162-rodrigo-moreno-machado","Rodrigo")</f>
        <v>Rodrigo</v>
      </c>
      <c s="30" r="I617">
        <v>77</v>
      </c>
      <c t="s" s="30" r="J617">
        <v>129</v>
      </c>
      <c t="s" s="30" r="K617">
        <v>114</v>
      </c>
      <c t="s" s="30" r="L617">
        <v>160</v>
      </c>
      <c s="30" r="M617">
        <v>21</v>
      </c>
      <c s="26" r="N617">
        <v>7.5</v>
      </c>
      <c s="23" r="O617">
        <v>0.015</v>
      </c>
      <c s="7" r="P617"/>
      <c s="7" r="Q617"/>
      <c s="7" r="R617">
        <f>IF((P617&gt;0),O617,0)</f>
        <v>0</v>
      </c>
      <c t="str" r="S617">
        <f>CONCATENATE(F617,E617)</f>
        <v>NON FTLNON FTL</v>
      </c>
    </row>
    <row r="618">
      <c t="s" s="7" r="A618">
        <v>201</v>
      </c>
      <c s="7" r="B618">
        <v>617</v>
      </c>
      <c s="30" r="C618">
        <v>39</v>
      </c>
      <c t="s" s="30" r="D618">
        <v>136</v>
      </c>
      <c t="s" s="30" r="E618">
        <v>4</v>
      </c>
      <c t="s" s="30" r="F618">
        <v>4</v>
      </c>
      <c t="s" s="30" r="G618">
        <v>211</v>
      </c>
      <c t="str" s="12" r="H618">
        <f>HYPERLINK("http://sofifa.com/en/fifa13winter/player/149164-michael-simoes-domingues","Mika")</f>
        <v>Mika</v>
      </c>
      <c s="30" r="I618">
        <v>68</v>
      </c>
      <c t="s" s="30" r="J618">
        <v>106</v>
      </c>
      <c t="s" s="30" r="K618">
        <v>176</v>
      </c>
      <c t="s" s="30" r="L618">
        <v>178</v>
      </c>
      <c s="30" r="M618">
        <v>21</v>
      </c>
      <c s="26" r="N618">
        <v>1.4</v>
      </c>
      <c s="23" r="O618">
        <v>0.005</v>
      </c>
      <c s="7" r="P618"/>
      <c s="7" r="Q618"/>
      <c s="7" r="R618">
        <f>IF((P618&gt;0),O618,0)</f>
        <v>0</v>
      </c>
      <c t="str" r="S618">
        <f>CONCATENATE(F618,E618)</f>
        <v>NON FTLNON FTL</v>
      </c>
    </row>
    <row r="619">
      <c t="s" s="7" r="A619">
        <v>201</v>
      </c>
      <c s="7" r="B619">
        <v>618</v>
      </c>
      <c s="30" r="C619">
        <v>15</v>
      </c>
      <c t="s" s="30" r="D619">
        <v>136</v>
      </c>
      <c t="s" s="30" r="E619">
        <v>4</v>
      </c>
      <c t="s" s="30" r="F619">
        <v>4</v>
      </c>
      <c t="s" s="30" r="G619">
        <v>211</v>
      </c>
      <c t="str" s="12" r="H619">
        <f>HYPERLINK("http://sofifa.com/en/fifa13winter/player/149602-ola-john","O. John")</f>
        <v>O. John</v>
      </c>
      <c s="30" r="I619">
        <v>77</v>
      </c>
      <c t="s" s="30" r="J619">
        <v>128</v>
      </c>
      <c t="s" s="30" r="K619">
        <v>114</v>
      </c>
      <c t="s" s="30" r="L619">
        <v>153</v>
      </c>
      <c s="30" r="M619">
        <v>20</v>
      </c>
      <c s="26" r="N619">
        <v>6.6</v>
      </c>
      <c s="23" r="O619">
        <v>0.014</v>
      </c>
      <c s="7" r="P619"/>
      <c s="7" r="Q619"/>
      <c s="7" r="R619">
        <f>IF((P619&gt;0),O619,0)</f>
        <v>0</v>
      </c>
      <c t="str" r="S619">
        <f>CONCATENATE(F619,E619)</f>
        <v>NON FTLNON FTL</v>
      </c>
    </row>
    <row r="620">
      <c t="s" s="7" r="A620">
        <v>201</v>
      </c>
      <c s="7" r="B620">
        <v>619</v>
      </c>
      <c s="30" r="C620">
        <v>50</v>
      </c>
      <c t="s" s="30" r="D620">
        <v>136</v>
      </c>
      <c t="s" s="30" r="E620">
        <v>4</v>
      </c>
      <c t="s" s="30" r="F620">
        <v>4</v>
      </c>
      <c t="s" s="30" r="G620">
        <v>211</v>
      </c>
      <c t="str" s="12" r="H620">
        <f>HYPERLINK("http://sofifa.com/en/fifa13winter/player/150340-joao-pedro-cavaco-cancelo","João Cancelo")</f>
        <v>João Cancelo</v>
      </c>
      <c s="30" r="I620">
        <v>65</v>
      </c>
      <c t="s" s="30" r="J620">
        <v>109</v>
      </c>
      <c t="s" s="30" r="K620">
        <v>114</v>
      </c>
      <c t="s" s="30" r="L620">
        <v>125</v>
      </c>
      <c s="30" r="M620">
        <v>18</v>
      </c>
      <c s="26" r="N620">
        <v>1.1</v>
      </c>
      <c s="23" r="O620">
        <v>0.004</v>
      </c>
      <c s="7" r="P620"/>
      <c s="7" r="Q620"/>
      <c s="7" r="R620">
        <f>IF((P620&gt;0),O620,0)</f>
        <v>0</v>
      </c>
      <c t="str" r="S620">
        <f>CONCATENATE(F620,E620)</f>
        <v>NON FTLNON FTL</v>
      </c>
    </row>
    <row r="621">
      <c t="s" s="7" r="A621">
        <v>201</v>
      </c>
      <c s="7" r="B621">
        <v>620</v>
      </c>
      <c s="30" r="C621">
        <v>10</v>
      </c>
      <c t="s" s="30" r="D621">
        <v>136</v>
      </c>
      <c t="s" s="30" r="E621">
        <v>4</v>
      </c>
      <c t="s" s="30" r="F621">
        <v>4</v>
      </c>
      <c t="s" s="30" r="G621">
        <v>211</v>
      </c>
      <c t="str" s="12" r="H621">
        <f>HYPERLINK("http://sofifa.com/en/fifa13winter/player/145021-pablo-aimar","P. Aimar")</f>
        <v>P. Aimar</v>
      </c>
      <c s="30" r="I621">
        <v>79</v>
      </c>
      <c t="s" s="30" r="J621">
        <v>162</v>
      </c>
      <c t="s" s="30" r="K621">
        <v>121</v>
      </c>
      <c t="s" s="30" r="L621">
        <v>164</v>
      </c>
      <c s="30" r="M621">
        <v>32</v>
      </c>
      <c s="26" r="N621">
        <v>6.2</v>
      </c>
      <c s="23" r="O621">
        <v>0.026</v>
      </c>
      <c s="7" r="P621"/>
      <c s="7" r="Q621"/>
      <c s="7" r="R621">
        <f>IF((P621&gt;0),O621,0)</f>
        <v>0</v>
      </c>
      <c t="str" r="S621">
        <f>CONCATENATE(F621,E621)</f>
        <v>NON FTLNON FTL</v>
      </c>
    </row>
    <row r="622">
      <c t="s" s="7" r="A622">
        <v>201</v>
      </c>
      <c s="7" r="B622">
        <v>621</v>
      </c>
      <c s="30" r="C622">
        <v>23</v>
      </c>
      <c t="s" s="30" r="D622">
        <v>136</v>
      </c>
      <c t="s" s="30" r="E622">
        <v>4</v>
      </c>
      <c t="s" s="30" r="F622">
        <v>4</v>
      </c>
      <c t="s" s="30" r="G622">
        <v>211</v>
      </c>
      <c t="str" s="12" r="H622">
        <f>HYPERLINK("http://sofifa.com/en/fifa13winter/player/148810-jonathan-urretaviscaya","J. Urretaviscaya")</f>
        <v>J. Urretaviscaya</v>
      </c>
      <c s="30" r="I622">
        <v>72</v>
      </c>
      <c t="s" s="30" r="J622">
        <v>120</v>
      </c>
      <c t="s" s="30" r="K622">
        <v>182</v>
      </c>
      <c t="s" s="30" r="L622">
        <v>164</v>
      </c>
      <c s="30" r="M622">
        <v>22</v>
      </c>
      <c s="26" r="N622">
        <v>2.9</v>
      </c>
      <c s="23" r="O622">
        <v>0.008</v>
      </c>
      <c s="7" r="P622"/>
      <c s="7" r="Q622"/>
      <c s="7" r="R622">
        <f>IF((P622&gt;0),O622,0)</f>
        <v>0</v>
      </c>
      <c t="str" r="S622">
        <f>CONCATENATE(F622,E622)</f>
        <v>NON FTLNON FTL</v>
      </c>
    </row>
    <row r="623">
      <c t="s" s="7" r="A623">
        <v>201</v>
      </c>
      <c s="7" r="B623">
        <v>622</v>
      </c>
      <c s="30" r="C623">
        <v>17</v>
      </c>
      <c t="s" s="30" r="D623">
        <v>136</v>
      </c>
      <c t="s" s="30" r="E623">
        <v>4</v>
      </c>
      <c t="s" s="30" r="F623">
        <v>4</v>
      </c>
      <c t="s" s="30" r="G623">
        <v>211</v>
      </c>
      <c t="str" s="12" r="H623">
        <f>HYPERLINK("http://sofifa.com/en/fifa13winter/player/145929-carlos-jorge-neto-martins","Carlos Martins")</f>
        <v>Carlos Martins</v>
      </c>
      <c s="30" r="I623">
        <v>77</v>
      </c>
      <c t="s" s="30" r="J623">
        <v>162</v>
      </c>
      <c t="s" s="30" r="K623">
        <v>187</v>
      </c>
      <c t="s" s="30" r="L623">
        <v>146</v>
      </c>
      <c s="30" r="M623">
        <v>30</v>
      </c>
      <c s="26" r="N623">
        <v>5.5</v>
      </c>
      <c s="23" r="O623">
        <v>0.019</v>
      </c>
      <c s="7" r="P623"/>
      <c s="7" r="Q623"/>
      <c s="7" r="R623">
        <f>IF((P623&gt;0),O623,0)</f>
        <v>0</v>
      </c>
      <c t="str" r="S623">
        <f>CONCATENATE(F623,E623)</f>
        <v>NON FTLNON FTL</v>
      </c>
    </row>
    <row r="624">
      <c t="s" s="7" r="A624">
        <v>201</v>
      </c>
      <c s="7" r="B624">
        <v>623</v>
      </c>
      <c s="30" r="C624">
        <v>89</v>
      </c>
      <c t="s" s="30" r="D624">
        <v>136</v>
      </c>
      <c t="s" s="30" r="E624">
        <v>4</v>
      </c>
      <c t="s" s="30" r="F624">
        <v>4</v>
      </c>
      <c t="s" s="30" r="G624">
        <v>211</v>
      </c>
      <c t="str" s="12" r="H624">
        <f>HYPERLINK("http://sofifa.com/en/fifa13winter/player/150039-andre-filipe-tavares-gomes","André Gomes")</f>
        <v>André Gomes</v>
      </c>
      <c s="30" r="I624">
        <v>70</v>
      </c>
      <c t="s" s="30" r="J624">
        <v>124</v>
      </c>
      <c t="s" s="30" r="K624">
        <v>134</v>
      </c>
      <c t="s" s="30" r="L624">
        <v>108</v>
      </c>
      <c s="30" r="M624">
        <v>19</v>
      </c>
      <c s="26" r="N624">
        <v>2.1</v>
      </c>
      <c s="23" r="O624">
        <v>0.005</v>
      </c>
      <c s="7" r="P624"/>
      <c s="7" r="Q624"/>
      <c s="7" r="R624">
        <f>IF((P624&gt;0),O624,0)</f>
        <v>0</v>
      </c>
      <c t="str" r="S624">
        <f>CONCATENATE(F624,E624)</f>
        <v>NON FTLNON FTL</v>
      </c>
    </row>
    <row r="625">
      <c t="s" s="7" r="A625">
        <v>201</v>
      </c>
      <c s="7" r="B625">
        <v>624</v>
      </c>
      <c s="30" r="C625">
        <v>31</v>
      </c>
      <c t="s" s="30" r="D625">
        <v>136</v>
      </c>
      <c t="s" s="30" r="E625">
        <v>4</v>
      </c>
      <c t="s" s="30" r="F625">
        <v>4</v>
      </c>
      <c t="s" s="30" r="G625">
        <v>211</v>
      </c>
      <c t="str" s="12" r="H625">
        <f>HYPERLINK("http://sofifa.com/en/fifa13winter/player/148379-alan-kardec-de-souza-pereira-jr","Alan Kardec")</f>
        <v>Alan Kardec</v>
      </c>
      <c s="30" r="I625">
        <v>72</v>
      </c>
      <c t="s" s="30" r="J625">
        <v>129</v>
      </c>
      <c t="s" s="30" r="K625">
        <v>132</v>
      </c>
      <c t="s" s="30" r="L625">
        <v>151</v>
      </c>
      <c s="30" r="M625">
        <v>23</v>
      </c>
      <c s="26" r="N625">
        <v>3.3</v>
      </c>
      <c s="23" r="O625">
        <v>0.008</v>
      </c>
      <c s="7" r="P625"/>
      <c s="7" r="Q625"/>
      <c s="7" r="R625">
        <f>IF((P625&gt;0),O625,0)</f>
        <v>0</v>
      </c>
      <c t="str" r="S625">
        <f>CONCATENATE(F625,E625)</f>
        <v>NON FTLNON FTL</v>
      </c>
    </row>
    <row r="626">
      <c t="s" s="7" r="A626">
        <v>201</v>
      </c>
      <c s="7" r="B626">
        <v>625</v>
      </c>
      <c s="30" r="C626">
        <v>13</v>
      </c>
      <c t="s" s="30" r="D626">
        <v>136</v>
      </c>
      <c t="s" s="30" r="E626">
        <v>4</v>
      </c>
      <c t="s" s="30" r="F626">
        <v>4</v>
      </c>
      <c t="s" s="30" r="G626">
        <v>211</v>
      </c>
      <c t="str" s="12" r="H626">
        <f>HYPERLINK("http://sofifa.com/en/fifa13winter/player/144529-paulo-jorge-pedro-lopes","Paulo Lopes")</f>
        <v>Paulo Lopes</v>
      </c>
      <c s="30" r="I626">
        <v>73</v>
      </c>
      <c t="s" s="30" r="J626">
        <v>106</v>
      </c>
      <c t="s" s="30" r="K626">
        <v>167</v>
      </c>
      <c t="s" s="30" r="L626">
        <v>137</v>
      </c>
      <c s="30" r="M626">
        <v>34</v>
      </c>
      <c s="26" r="N626">
        <v>1.6</v>
      </c>
      <c s="23" r="O626">
        <v>0.012</v>
      </c>
      <c s="7" r="P626"/>
      <c s="7" r="Q626"/>
      <c s="7" r="R626">
        <f>IF((P626&gt;0),O626,0)</f>
        <v>0</v>
      </c>
      <c t="str" r="S626">
        <f>CONCATENATE(F626,E626)</f>
        <v>NON FTLNON FTL</v>
      </c>
    </row>
    <row r="627">
      <c t="s" s="7" r="A627">
        <v>201</v>
      </c>
      <c s="7" r="B627">
        <v>626</v>
      </c>
      <c s="30" r="C627">
        <v>33</v>
      </c>
      <c t="s" s="30" r="D627">
        <v>136</v>
      </c>
      <c t="s" s="30" r="E627">
        <v>4</v>
      </c>
      <c t="s" s="30" r="F627">
        <v>4</v>
      </c>
      <c t="s" s="30" r="G627">
        <v>211</v>
      </c>
      <c t="str" s="12" r="H627">
        <f>HYPERLINK("http://sofifa.com/en/fifa13winter/player/147359-jardel-nivaldo-vieira","Jardel")</f>
        <v>Jardel</v>
      </c>
      <c s="30" r="I627">
        <v>75</v>
      </c>
      <c t="s" s="30" r="J627">
        <v>113</v>
      </c>
      <c t="s" s="30" r="K627">
        <v>165</v>
      </c>
      <c t="s" s="30" r="L627">
        <v>179</v>
      </c>
      <c s="30" r="M627">
        <v>26</v>
      </c>
      <c s="26" r="N627">
        <v>4</v>
      </c>
      <c s="23" r="O627">
        <v>0.013</v>
      </c>
      <c s="7" r="P627"/>
      <c s="7" r="Q627"/>
      <c s="7" r="R627">
        <f>IF((P627&gt;0),O627,0)</f>
        <v>0</v>
      </c>
      <c t="str" r="S627">
        <f>CONCATENATE(F627,E627)</f>
        <v>NON FTLNON FTL</v>
      </c>
    </row>
    <row r="628">
      <c t="s" s="7" r="A628">
        <v>201</v>
      </c>
      <c s="7" r="B628">
        <v>627</v>
      </c>
      <c s="30" r="C628">
        <v>22</v>
      </c>
      <c t="s" s="30" r="D628">
        <v>147</v>
      </c>
      <c t="s" s="30" r="E628">
        <v>4</v>
      </c>
      <c t="s" s="30" r="F628">
        <v>4</v>
      </c>
      <c t="s" s="30" r="G628">
        <v>211</v>
      </c>
      <c t="str" s="12" r="H628">
        <f>HYPERLINK("http://sofifa.com/en/fifa13winter/player/149550-bryan-silva-garcia","Bryan")</f>
        <v>Bryan</v>
      </c>
      <c s="30" r="I628">
        <v>66</v>
      </c>
      <c t="s" s="30" r="J628">
        <v>117</v>
      </c>
      <c t="s" s="30" r="K628">
        <v>172</v>
      </c>
      <c t="s" s="30" r="L628">
        <v>146</v>
      </c>
      <c s="30" r="M628">
        <v>20</v>
      </c>
      <c s="26" r="N628">
        <v>1.2</v>
      </c>
      <c s="23" r="O628">
        <v>0.004</v>
      </c>
      <c s="7" r="P628"/>
      <c s="7" r="Q628"/>
      <c s="7" r="R628">
        <f>IF((P628&gt;0),O628,0)</f>
        <v>0</v>
      </c>
      <c t="str" r="S628">
        <f>CONCATENATE(F628,E628)</f>
        <v>NON FTLNON FTL</v>
      </c>
    </row>
    <row r="629">
      <c t="s" s="7" r="A629">
        <v>201</v>
      </c>
      <c s="7" r="B629">
        <v>628</v>
      </c>
      <c s="30" r="C629">
        <v>5</v>
      </c>
      <c t="s" s="30" r="D629">
        <v>147</v>
      </c>
      <c t="s" s="30" r="E629">
        <v>4</v>
      </c>
      <c t="s" s="30" r="F629">
        <v>4</v>
      </c>
      <c t="s" s="30" r="G629">
        <v>211</v>
      </c>
      <c t="str" s="12" r="H629">
        <f>HYPERLINK("http://sofifa.com/en/fifa13winter/player/147031-luis-carlos-correia-pinto","Luisinho")</f>
        <v>Luisinho</v>
      </c>
      <c s="30" r="I629">
        <v>70</v>
      </c>
      <c t="s" s="30" r="J629">
        <v>117</v>
      </c>
      <c t="s" s="30" r="K629">
        <v>139</v>
      </c>
      <c t="s" s="30" r="L629">
        <v>164</v>
      </c>
      <c s="30" r="M629">
        <v>27</v>
      </c>
      <c s="26" r="N629">
        <v>1.7</v>
      </c>
      <c s="23" r="O629">
        <v>0.007</v>
      </c>
      <c s="7" r="P629"/>
      <c s="7" r="Q629"/>
      <c s="7" r="R629">
        <f>IF((P629&gt;0),O629,0)</f>
        <v>0</v>
      </c>
      <c t="str" r="S629">
        <f>CONCATENATE(F629,E629)</f>
        <v>NON FTLNON FTL</v>
      </c>
    </row>
    <row r="630">
      <c t="s" s="7" r="A630">
        <v>201</v>
      </c>
      <c s="7" r="B630">
        <v>629</v>
      </c>
      <c s="30" r="C630">
        <v>75</v>
      </c>
      <c t="s" s="30" r="D630">
        <v>147</v>
      </c>
      <c t="s" s="30" r="E630">
        <v>4</v>
      </c>
      <c t="s" s="30" r="F630">
        <v>4</v>
      </c>
      <c t="s" s="30" r="G630">
        <v>211</v>
      </c>
      <c t="str" s="12" r="H630">
        <f>HYPERLINK("http://sofifa.com/en/fifa13winter/player/148541-sidnei-rechel-da-silva-junior","Sidnei")</f>
        <v>Sidnei</v>
      </c>
      <c s="30" r="I630">
        <v>72</v>
      </c>
      <c t="s" s="30" r="J630">
        <v>113</v>
      </c>
      <c t="s" s="30" r="K630">
        <v>173</v>
      </c>
      <c t="s" s="30" r="L630">
        <v>180</v>
      </c>
      <c s="30" r="M630">
        <v>23</v>
      </c>
      <c s="26" r="N630">
        <v>2.9</v>
      </c>
      <c s="23" r="O630">
        <v>0.008</v>
      </c>
      <c s="7" r="P630"/>
      <c s="7" r="Q630"/>
      <c s="7" r="R630">
        <f>IF((P630&gt;0),O630,0)</f>
        <v>0</v>
      </c>
      <c t="str" r="S630">
        <f>CONCATENATE(F630,E630)</f>
        <v>NON FTLNON FTL</v>
      </c>
    </row>
    <row r="631">
      <c t="s" s="7" r="A631">
        <v>201</v>
      </c>
      <c s="7" r="B631">
        <v>630</v>
      </c>
      <c s="30" r="C631">
        <v>3</v>
      </c>
      <c t="s" s="30" r="D631">
        <v>147</v>
      </c>
      <c t="s" s="30" r="E631">
        <v>4</v>
      </c>
      <c t="s" s="30" r="F631">
        <v>4</v>
      </c>
      <c t="s" s="30" r="G631">
        <v>211</v>
      </c>
      <c t="str" s="12" r="H631">
        <f>HYPERLINK("http://sofifa.com/en/fifa13winter/player/149186-roderick-j-goncalves-miranda","Roderick")</f>
        <v>Roderick</v>
      </c>
      <c s="30" r="I631">
        <v>69</v>
      </c>
      <c t="s" s="30" r="J631">
        <v>113</v>
      </c>
      <c t="s" s="30" r="K631">
        <v>188</v>
      </c>
      <c t="s" s="30" r="L631">
        <v>191</v>
      </c>
      <c s="30" r="M631">
        <v>21</v>
      </c>
      <c s="26" r="N631">
        <v>1.9</v>
      </c>
      <c s="23" r="O631">
        <v>0.006</v>
      </c>
      <c s="7" r="P631"/>
      <c s="7" r="Q631"/>
      <c s="7" r="R631">
        <f>IF((P631&gt;0),O631,0)</f>
        <v>0</v>
      </c>
      <c t="str" r="S631">
        <f>CONCATENATE(F631,E631)</f>
        <v>NON FTLNON FTL</v>
      </c>
    </row>
    <row r="632">
      <c t="s" s="7" r="A632">
        <v>201</v>
      </c>
      <c s="7" r="B632">
        <v>631</v>
      </c>
      <c s="30" r="C632">
        <v>77</v>
      </c>
      <c t="s" s="30" r="D632">
        <v>147</v>
      </c>
      <c t="s" s="30" r="E632">
        <v>4</v>
      </c>
      <c t="s" s="30" r="F632">
        <v>4</v>
      </c>
      <c t="s" s="30" r="G632">
        <v>211</v>
      </c>
      <c t="str" s="12" r="H632">
        <f>HYPERLINK("http://sofifa.com/en/fifa13winter/player/148380-miguel-alex-jesus-rosa","Miguel Rosa")</f>
        <v>Miguel Rosa</v>
      </c>
      <c s="30" r="I632">
        <v>70</v>
      </c>
      <c t="s" s="30" r="J632">
        <v>128</v>
      </c>
      <c t="s" s="30" r="K632">
        <v>118</v>
      </c>
      <c t="s" s="30" r="L632">
        <v>163</v>
      </c>
      <c s="30" r="M632">
        <v>23</v>
      </c>
      <c s="26" r="N632">
        <v>2</v>
      </c>
      <c s="23" r="O632">
        <v>0.006</v>
      </c>
      <c s="7" r="P632"/>
      <c s="7" r="Q632"/>
      <c s="7" r="R632">
        <f>IF((P632&gt;0),O632,0)</f>
        <v>0</v>
      </c>
      <c t="str" r="S632">
        <f>CONCATENATE(F632,E632)</f>
        <v>NON FTLNON FTL</v>
      </c>
    </row>
    <row r="633">
      <c t="s" s="7" r="A633">
        <v>201</v>
      </c>
      <c s="7" r="B633">
        <v>632</v>
      </c>
      <c s="30" r="C633">
        <v>27</v>
      </c>
      <c t="s" s="30" r="D633">
        <v>147</v>
      </c>
      <c t="s" s="30" r="E633">
        <v>4</v>
      </c>
      <c t="s" s="30" r="F633">
        <v>4</v>
      </c>
      <c t="s" s="30" r="G633">
        <v>211</v>
      </c>
      <c t="str" s="12" r="H633">
        <f>HYPERLINK("http://sofifa.com/en/fifa13winter/player/148548-miguel-angelo-leonardo-vitor","Miguel Vítor")</f>
        <v>Miguel Vítor</v>
      </c>
      <c s="30" r="I633">
        <v>70</v>
      </c>
      <c t="s" s="30" r="J633">
        <v>113</v>
      </c>
      <c t="s" s="30" r="K633">
        <v>167</v>
      </c>
      <c t="s" s="30" r="L633">
        <v>108</v>
      </c>
      <c s="30" r="M633">
        <v>23</v>
      </c>
      <c s="26" r="N633">
        <v>1.9</v>
      </c>
      <c s="23" r="O633">
        <v>0.006</v>
      </c>
      <c s="7" r="P633"/>
      <c s="7" r="Q633"/>
      <c s="7" r="R633">
        <f>IF((P633&gt;0),O633,0)</f>
        <v>0</v>
      </c>
      <c t="str" r="S633">
        <f>CONCATENATE(F633,E633)</f>
        <v>NON FTLNON FTL</v>
      </c>
    </row>
    <row r="634">
      <c t="s" s="7" r="A634">
        <v>201</v>
      </c>
      <c s="7" r="B634">
        <v>633</v>
      </c>
      <c s="30" r="C634">
        <v>13</v>
      </c>
      <c t="s" s="30" r="D634">
        <v>106</v>
      </c>
      <c t="s" s="30" r="E634">
        <v>4</v>
      </c>
      <c t="s" s="30" r="F634">
        <v>4</v>
      </c>
      <c t="s" s="30" r="G634">
        <v>212</v>
      </c>
      <c t="str" s="12" r="H634">
        <f>HYPERLINK("http://sofifa.com/en/fifa13winter/player/145716-wilfredo-caballero","W. Caballero")</f>
        <v>W. Caballero</v>
      </c>
      <c s="30" r="I634">
        <v>80</v>
      </c>
      <c t="s" s="30" r="J634">
        <v>106</v>
      </c>
      <c t="s" s="30" r="K634">
        <v>173</v>
      </c>
      <c t="s" s="30" r="L634">
        <v>153</v>
      </c>
      <c s="30" r="M634">
        <v>30</v>
      </c>
      <c s="26" r="N634">
        <v>6.8</v>
      </c>
      <c s="23" r="O634">
        <v>0.034</v>
      </c>
      <c s="7" r="P634"/>
      <c s="7" r="Q634"/>
      <c s="7" r="R634">
        <f>IF((P634&gt;0),O634,0)</f>
        <v>0</v>
      </c>
      <c t="str" r="S634">
        <f>CONCATENATE(F634,E634)</f>
        <v>NON FTLNON FTL</v>
      </c>
    </row>
    <row r="635">
      <c t="s" s="7" r="A635">
        <v>201</v>
      </c>
      <c s="7" r="B635">
        <v>634</v>
      </c>
      <c s="30" r="C635">
        <v>2</v>
      </c>
      <c t="s" s="30" r="D635">
        <v>109</v>
      </c>
      <c t="s" s="30" r="E635">
        <v>4</v>
      </c>
      <c t="s" s="30" r="F635">
        <v>4</v>
      </c>
      <c t="s" s="30" r="G635">
        <v>212</v>
      </c>
      <c t="str" s="12" r="H635">
        <f>HYPERLINK("http://sofifa.com/en/fifa13winter/player/147006-jesus-gamez-duarte","Jesús Gámez")</f>
        <v>Jesús Gámez</v>
      </c>
      <c s="30" r="I635">
        <v>79</v>
      </c>
      <c t="s" s="30" r="J635">
        <v>109</v>
      </c>
      <c t="s" s="30" r="K635">
        <v>143</v>
      </c>
      <c t="s" s="30" r="L635">
        <v>138</v>
      </c>
      <c s="30" r="M635">
        <v>27</v>
      </c>
      <c s="26" r="N635">
        <v>6.6</v>
      </c>
      <c s="23" r="O635">
        <v>0.022</v>
      </c>
      <c s="7" r="P635"/>
      <c s="7" r="Q635"/>
      <c s="7" r="R635">
        <f>IF((P635&gt;0),O635,0)</f>
        <v>0</v>
      </c>
      <c t="str" r="S635">
        <f>CONCATENATE(F635,E635)</f>
        <v>NON FTLNON FTL</v>
      </c>
    </row>
    <row r="636">
      <c t="s" s="7" r="A636">
        <v>201</v>
      </c>
      <c s="7" r="B636">
        <v>635</v>
      </c>
      <c s="30" r="C636">
        <v>5</v>
      </c>
      <c t="s" s="30" r="D636">
        <v>112</v>
      </c>
      <c t="s" s="30" r="E636">
        <v>4</v>
      </c>
      <c t="s" s="30" r="F636">
        <v>4</v>
      </c>
      <c t="s" s="30" r="G636">
        <v>212</v>
      </c>
      <c t="str" s="12" r="H636">
        <f>HYPERLINK("http://sofifa.com/en/fifa13winter/player/145434-martin-demichelis","M. Demichelis")</f>
        <v>M. Demichelis</v>
      </c>
      <c s="30" r="I636">
        <v>80</v>
      </c>
      <c t="s" s="30" r="J636">
        <v>113</v>
      </c>
      <c t="s" s="30" r="K636">
        <v>167</v>
      </c>
      <c t="s" s="30" r="L636">
        <v>153</v>
      </c>
      <c s="30" r="M636">
        <v>31</v>
      </c>
      <c s="26" r="N636">
        <v>7.6</v>
      </c>
      <c s="23" r="O636">
        <v>0.035</v>
      </c>
      <c s="7" r="P636"/>
      <c s="7" r="Q636"/>
      <c s="7" r="R636">
        <f>IF((P636&gt;0),O636,0)</f>
        <v>0</v>
      </c>
      <c t="str" r="S636">
        <f>CONCATENATE(F636,E636)</f>
        <v>NON FTLNON FTL</v>
      </c>
    </row>
    <row r="637">
      <c t="s" s="7" r="A637">
        <v>201</v>
      </c>
      <c s="7" r="B637">
        <v>636</v>
      </c>
      <c s="30" r="C637">
        <v>3</v>
      </c>
      <c t="s" s="30" r="D637">
        <v>116</v>
      </c>
      <c t="s" s="30" r="E637">
        <v>4</v>
      </c>
      <c t="s" s="30" r="F637">
        <v>4</v>
      </c>
      <c t="s" s="30" r="G637">
        <v>212</v>
      </c>
      <c t="str" s="12" r="H637">
        <f>HYPERLINK("http://sofifa.com/en/fifa13winter/player/144952-weligton-robson-pena-de-oliveira","Weligton")</f>
        <v>Weligton</v>
      </c>
      <c s="30" r="I637">
        <v>78</v>
      </c>
      <c t="s" s="30" r="J637">
        <v>113</v>
      </c>
      <c t="s" s="30" r="K637">
        <v>173</v>
      </c>
      <c t="s" s="30" r="L637">
        <v>142</v>
      </c>
      <c s="30" r="M637">
        <v>33</v>
      </c>
      <c s="26" r="N637">
        <v>4.5</v>
      </c>
      <c s="23" r="O637">
        <v>0.023</v>
      </c>
      <c s="7" r="P637"/>
      <c s="7" r="Q637"/>
      <c s="7" r="R637">
        <f>IF((P637&gt;0),O637,0)</f>
        <v>0</v>
      </c>
      <c t="str" r="S637">
        <f>CONCATENATE(F637,E637)</f>
        <v>NON FTLNON FTL</v>
      </c>
    </row>
    <row r="638">
      <c t="s" s="7" r="A638">
        <v>201</v>
      </c>
      <c s="7" r="B638">
        <v>637</v>
      </c>
      <c s="30" r="C638">
        <v>18</v>
      </c>
      <c t="s" s="30" r="D638">
        <v>117</v>
      </c>
      <c t="s" s="30" r="E638">
        <v>4</v>
      </c>
      <c t="s" s="30" r="F638">
        <v>4</v>
      </c>
      <c t="s" s="30" r="G638">
        <v>212</v>
      </c>
      <c t="str" s="12" r="H638">
        <f>HYPERLINK("http://sofifa.com/en/fifa13winter/player/146449-eliseu-pereira-dos-santos","Eliseu")</f>
        <v>Eliseu</v>
      </c>
      <c s="30" r="I638">
        <v>76</v>
      </c>
      <c t="s" s="30" r="J638">
        <v>117</v>
      </c>
      <c t="s" s="30" r="K638">
        <v>139</v>
      </c>
      <c t="s" s="30" r="L638">
        <v>137</v>
      </c>
      <c s="30" r="M638">
        <v>28</v>
      </c>
      <c s="26" r="N638">
        <v>4.4</v>
      </c>
      <c s="23" r="O638">
        <v>0.015</v>
      </c>
      <c s="7" r="P638"/>
      <c s="7" r="Q638"/>
      <c s="7" r="R638">
        <f>IF((P638&gt;0),O638,0)</f>
        <v>0</v>
      </c>
      <c t="str" r="S638">
        <f>CONCATENATE(F638,E638)</f>
        <v>NON FTLNON FTL</v>
      </c>
    </row>
    <row r="639">
      <c t="s" s="7" r="A639">
        <v>201</v>
      </c>
      <c s="7" r="B639">
        <v>638</v>
      </c>
      <c s="30" r="C639">
        <v>8</v>
      </c>
      <c t="s" s="30" r="D639">
        <v>186</v>
      </c>
      <c t="s" s="30" r="E639">
        <v>4</v>
      </c>
      <c t="s" s="30" r="F639">
        <v>4</v>
      </c>
      <c t="s" s="30" r="G639">
        <v>212</v>
      </c>
      <c t="str" s="12" r="H639">
        <f>HYPERLINK("http://sofifa.com/en/fifa13winter/player/146428-jeremy-toulalan","J. Toulalan")</f>
        <v>J. Toulalan</v>
      </c>
      <c s="30" r="I639">
        <v>82</v>
      </c>
      <c t="s" s="30" r="J639">
        <v>154</v>
      </c>
      <c t="s" s="30" r="K639">
        <v>110</v>
      </c>
      <c t="s" s="30" r="L639">
        <v>138</v>
      </c>
      <c s="30" r="M639">
        <v>28</v>
      </c>
      <c s="26" r="N639">
        <v>12.8</v>
      </c>
      <c s="23" r="O639">
        <v>0.055</v>
      </c>
      <c s="7" r="P639"/>
      <c s="7" r="Q639"/>
      <c s="7" r="R639">
        <f>IF((P639&gt;0),O639,0)</f>
        <v>0</v>
      </c>
      <c t="str" r="S639">
        <f>CONCATENATE(F639,E639)</f>
        <v>NON FTLNON FTL</v>
      </c>
    </row>
    <row r="640">
      <c t="s" s="7" r="A640">
        <v>201</v>
      </c>
      <c s="7" r="B640">
        <v>639</v>
      </c>
      <c s="30" r="C640">
        <v>6</v>
      </c>
      <c t="s" s="30" r="D640">
        <v>174</v>
      </c>
      <c t="s" s="30" r="E640">
        <v>4</v>
      </c>
      <c t="s" s="30" r="F640">
        <v>4</v>
      </c>
      <c t="s" s="30" r="G640">
        <v>212</v>
      </c>
      <c t="str" s="12" r="H640">
        <f>HYPERLINK("http://sofifa.com/en/fifa13winter/player/148856-ignacio-camacho-barnola","Camacho")</f>
        <v>Camacho</v>
      </c>
      <c s="30" r="I640">
        <v>78</v>
      </c>
      <c t="s" s="30" r="J640">
        <v>154</v>
      </c>
      <c t="s" s="30" r="K640">
        <v>143</v>
      </c>
      <c t="s" s="30" r="L640">
        <v>151</v>
      </c>
      <c s="30" r="M640">
        <v>22</v>
      </c>
      <c s="26" r="N640">
        <v>6.5</v>
      </c>
      <c s="23" r="O640">
        <v>0.017</v>
      </c>
      <c s="7" r="P640"/>
      <c s="7" r="Q640"/>
      <c s="7" r="R640">
        <f>IF((P640&gt;0),O640,0)</f>
        <v>0</v>
      </c>
      <c t="str" r="S640">
        <f>CONCATENATE(F640,E640)</f>
        <v>NON FTLNON FTL</v>
      </c>
    </row>
    <row r="641">
      <c t="s" s="7" r="A641">
        <v>201</v>
      </c>
      <c s="7" r="B641">
        <v>640</v>
      </c>
      <c s="30" r="C641">
        <v>7</v>
      </c>
      <c t="s" s="30" r="D641">
        <v>120</v>
      </c>
      <c t="s" s="30" r="E641">
        <v>4</v>
      </c>
      <c t="s" s="30" r="F641">
        <v>4</v>
      </c>
      <c t="s" s="30" r="G641">
        <v>212</v>
      </c>
      <c t="str" s="12" r="H641">
        <f>HYPERLINK("http://sofifa.com/en/fifa13winter/player/145647-joaquin-sanchez-rodriguez","Joaquín")</f>
        <v>Joaquín</v>
      </c>
      <c s="30" r="I641">
        <v>82</v>
      </c>
      <c t="s" s="30" r="J641">
        <v>120</v>
      </c>
      <c t="s" s="30" r="K641">
        <v>145</v>
      </c>
      <c t="s" s="30" r="L641">
        <v>151</v>
      </c>
      <c s="30" r="M641">
        <v>31</v>
      </c>
      <c s="26" r="N641">
        <v>11.9</v>
      </c>
      <c s="23" r="O641">
        <v>0.062</v>
      </c>
      <c s="7" r="P641"/>
      <c s="7" r="Q641"/>
      <c s="7" r="R641">
        <f>IF((P641&gt;0),O641,0)</f>
        <v>0</v>
      </c>
      <c t="str" r="S641">
        <f>CONCATENATE(F641,E641)</f>
        <v>NON FTLNON FTL</v>
      </c>
    </row>
    <row r="642">
      <c t="s" s="7" r="A642">
        <v>201</v>
      </c>
      <c s="7" r="B642">
        <v>641</v>
      </c>
      <c s="30" r="C642">
        <v>22</v>
      </c>
      <c t="s" s="30" r="D642">
        <v>128</v>
      </c>
      <c t="s" s="30" r="E642">
        <v>4</v>
      </c>
      <c t="s" s="30" r="F642">
        <v>4</v>
      </c>
      <c t="s" s="30" r="G642">
        <v>212</v>
      </c>
      <c t="str" s="12" r="H642">
        <f>HYPERLINK("http://sofifa.com/en/fifa13winter/player/149574-francisco-roman-alarcon-suarez","Isco")</f>
        <v>Isco</v>
      </c>
      <c s="30" r="I642">
        <v>83</v>
      </c>
      <c t="s" s="30" r="J642">
        <v>162</v>
      </c>
      <c t="s" s="30" r="K642">
        <v>172</v>
      </c>
      <c t="s" s="30" r="L642">
        <v>160</v>
      </c>
      <c s="30" r="M642">
        <v>20</v>
      </c>
      <c s="26" r="N642">
        <v>21.3</v>
      </c>
      <c s="23" r="O642">
        <v>0.057</v>
      </c>
      <c s="7" r="P642"/>
      <c s="7" r="Q642"/>
      <c s="7" r="R642">
        <f>IF((P642&gt;0),O642,0)</f>
        <v>0</v>
      </c>
      <c t="str" r="S642">
        <f>CONCATENATE(F642,E642)</f>
        <v>NON FTLNON FTL</v>
      </c>
    </row>
    <row r="643">
      <c t="s" s="7" r="A643">
        <v>201</v>
      </c>
      <c s="7" r="B643">
        <v>642</v>
      </c>
      <c s="30" r="C643">
        <v>10</v>
      </c>
      <c t="s" s="30" r="D643">
        <v>162</v>
      </c>
      <c t="s" s="30" r="E643">
        <v>4</v>
      </c>
      <c t="s" s="30" r="F643">
        <v>4</v>
      </c>
      <c t="s" s="30" r="G643">
        <v>212</v>
      </c>
      <c t="str" s="12" r="H643">
        <f>HYPERLINK("http://sofifa.com/en/fifa13winter/player/145719-julio-baptista","J. Baptista")</f>
        <v>J. Baptista</v>
      </c>
      <c s="30" r="I643">
        <v>76</v>
      </c>
      <c t="s" s="30" r="J643">
        <v>162</v>
      </c>
      <c t="s" s="30" r="K643">
        <v>132</v>
      </c>
      <c t="s" s="30" r="L643">
        <v>180</v>
      </c>
      <c s="30" r="M643">
        <v>30</v>
      </c>
      <c s="26" r="N643">
        <v>5.2</v>
      </c>
      <c s="23" r="O643">
        <v>0.017</v>
      </c>
      <c s="7" r="P643"/>
      <c s="7" r="Q643"/>
      <c s="7" r="R643">
        <f>IF((P643&gt;0),O643,0)</f>
        <v>0</v>
      </c>
      <c t="str" r="S643">
        <f>CONCATENATE(F643,E643)</f>
        <v>NON FTLNON FTL</v>
      </c>
    </row>
    <row r="644">
      <c t="s" s="7" r="A644">
        <v>201</v>
      </c>
      <c s="7" r="B644">
        <v>643</v>
      </c>
      <c s="30" r="C644">
        <v>9</v>
      </c>
      <c t="s" s="30" r="D644">
        <v>129</v>
      </c>
      <c t="s" s="30" r="E644">
        <v>4</v>
      </c>
      <c t="s" s="30" r="F644">
        <v>4</v>
      </c>
      <c t="s" s="30" r="G644">
        <v>212</v>
      </c>
      <c t="str" s="12" r="H644">
        <f>HYPERLINK("http://sofifa.com/en/fifa13winter/player/145790-javier-saviola","J. Saviola")</f>
        <v>J. Saviola</v>
      </c>
      <c s="30" r="I644">
        <v>76</v>
      </c>
      <c t="s" s="30" r="J644">
        <v>129</v>
      </c>
      <c t="s" s="30" r="K644">
        <v>148</v>
      </c>
      <c t="s" s="30" r="L644">
        <v>141</v>
      </c>
      <c s="30" r="M644">
        <v>30</v>
      </c>
      <c s="26" r="N644">
        <v>5</v>
      </c>
      <c s="23" r="O644">
        <v>0.017</v>
      </c>
      <c s="7" r="P644"/>
      <c s="7" r="Q644"/>
      <c s="7" r="R644">
        <f>IF((P644&gt;0),O644,0)</f>
        <v>0</v>
      </c>
      <c t="str" r="S644">
        <f>CONCATENATE(F644,E644)</f>
        <v>NON FTLNON FTL</v>
      </c>
    </row>
    <row r="645">
      <c t="s" s="7" r="A645">
        <v>201</v>
      </c>
      <c s="7" r="B645">
        <v>644</v>
      </c>
      <c s="30" r="C645">
        <v>14</v>
      </c>
      <c t="s" s="30" r="D645">
        <v>136</v>
      </c>
      <c t="s" s="30" r="E645">
        <v>4</v>
      </c>
      <c t="s" s="30" r="F645">
        <v>4</v>
      </c>
      <c t="s" s="30" r="G645">
        <v>212</v>
      </c>
      <c t="str" s="12" r="H645">
        <f>HYPERLINK("http://sofifa.com/en/fifa13winter/player/147051-pedro-morales","P. Morales")</f>
        <v>P. Morales</v>
      </c>
      <c s="30" r="I645">
        <v>75</v>
      </c>
      <c t="s" s="30" r="J645">
        <v>162</v>
      </c>
      <c t="s" s="30" r="K645">
        <v>159</v>
      </c>
      <c t="s" s="30" r="L645">
        <v>146</v>
      </c>
      <c s="30" r="M645">
        <v>27</v>
      </c>
      <c s="26" r="N645">
        <v>4.6</v>
      </c>
      <c s="23" r="O645">
        <v>0.013</v>
      </c>
      <c s="7" r="P645"/>
      <c s="7" r="Q645"/>
      <c s="7" r="R645">
        <f>IF((P645&gt;0),O645,0)</f>
        <v>0</v>
      </c>
      <c t="str" r="S645">
        <f>CONCATENATE(F645,E645)</f>
        <v>NON FTLNON FTL</v>
      </c>
    </row>
    <row r="646">
      <c t="s" s="7" r="A646">
        <v>201</v>
      </c>
      <c s="7" r="B646">
        <v>645</v>
      </c>
      <c s="30" r="C646">
        <v>19</v>
      </c>
      <c t="s" s="30" r="D646">
        <v>136</v>
      </c>
      <c t="s" s="30" r="E646">
        <v>4</v>
      </c>
      <c t="s" s="30" r="F646">
        <v>4</v>
      </c>
      <c t="s" s="30" r="G646">
        <v>212</v>
      </c>
      <c t="str" s="12" r="H646">
        <f>HYPERLINK("http://sofifa.com/en/fifa13winter/player/148896-francisco-portillo-soler","Portillo")</f>
        <v>Portillo</v>
      </c>
      <c s="30" r="I646">
        <v>76</v>
      </c>
      <c t="s" s="30" r="J646">
        <v>162</v>
      </c>
      <c t="s" s="30" r="K646">
        <v>205</v>
      </c>
      <c t="s" s="30" r="L646">
        <v>168</v>
      </c>
      <c s="30" r="M646">
        <v>22</v>
      </c>
      <c s="26" r="N646">
        <v>6</v>
      </c>
      <c s="23" r="O646">
        <v>0.014</v>
      </c>
      <c s="7" r="P646"/>
      <c s="7" r="Q646"/>
      <c s="7" r="R646">
        <f>IF((P646&gt;0),O646,0)</f>
        <v>0</v>
      </c>
      <c t="str" r="S646">
        <f>CONCATENATE(F646,E646)</f>
        <v>NON FTLNON FTL</v>
      </c>
    </row>
    <row r="647">
      <c t="s" s="7" r="A647">
        <v>201</v>
      </c>
      <c s="7" r="B647">
        <v>646</v>
      </c>
      <c s="30" r="C647">
        <v>11</v>
      </c>
      <c t="s" s="30" r="D647">
        <v>136</v>
      </c>
      <c t="s" s="30" r="E647">
        <v>4</v>
      </c>
      <c t="s" s="30" r="F647">
        <v>4</v>
      </c>
      <c t="s" s="30" r="G647">
        <v>212</v>
      </c>
      <c t="str" s="12" r="H647">
        <f>HYPERLINK("http://sofifa.com/en/fifa13winter/player/147049-sebastian-fernandez","S. Fernández")</f>
        <v>S. Fernández</v>
      </c>
      <c s="30" r="I647">
        <v>72</v>
      </c>
      <c t="s" s="30" r="J647">
        <v>162</v>
      </c>
      <c t="s" s="30" r="K647">
        <v>195</v>
      </c>
      <c t="s" s="30" r="L647">
        <v>111</v>
      </c>
      <c s="30" r="M647">
        <v>27</v>
      </c>
      <c s="26" r="N647">
        <v>2.9</v>
      </c>
      <c s="23" r="O647">
        <v>0.009</v>
      </c>
      <c s="7" r="P647"/>
      <c s="7" r="Q647"/>
      <c s="7" r="R647">
        <f>IF((P647&gt;0),O647,0)</f>
        <v>0</v>
      </c>
      <c t="str" r="S647">
        <f>CONCATENATE(F647,E647)</f>
        <v>NON FTLNON FTL</v>
      </c>
    </row>
    <row r="648">
      <c t="s" s="7" r="A648">
        <v>201</v>
      </c>
      <c s="7" r="B648">
        <v>647</v>
      </c>
      <c s="30" r="C648">
        <v>12</v>
      </c>
      <c t="s" s="30" r="D648">
        <v>136</v>
      </c>
      <c t="s" s="30" r="E648">
        <v>4</v>
      </c>
      <c t="s" s="30" r="F648">
        <v>4</v>
      </c>
      <c t="s" s="30" r="G648">
        <v>212</v>
      </c>
      <c t="str" s="12" r="H648">
        <f>HYPERLINK("http://sofifa.com/en/fifa13winter/player/150213-lucas-domingues-piazon","Lucas Piazon")</f>
        <v>Lucas Piazon</v>
      </c>
      <c s="30" r="I648">
        <v>73</v>
      </c>
      <c t="s" s="30" r="J648">
        <v>128</v>
      </c>
      <c t="s" s="30" r="K648">
        <v>143</v>
      </c>
      <c t="s" s="30" r="L648">
        <v>151</v>
      </c>
      <c s="30" r="M648">
        <v>18</v>
      </c>
      <c s="26" r="N648">
        <v>3.6</v>
      </c>
      <c s="23" r="O648">
        <v>0.007</v>
      </c>
      <c s="7" r="P648"/>
      <c s="7" r="Q648"/>
      <c s="7" r="R648">
        <f>IF((P648&gt;0),O648,0)</f>
        <v>0</v>
      </c>
      <c t="str" r="S648">
        <f>CONCATENATE(F648,E648)</f>
        <v>NON FTLNON FTL</v>
      </c>
    </row>
    <row r="649">
      <c t="s" s="7" r="A649">
        <v>201</v>
      </c>
      <c s="7" r="B649">
        <v>648</v>
      </c>
      <c s="30" r="C649">
        <v>25</v>
      </c>
      <c t="s" s="30" r="D649">
        <v>136</v>
      </c>
      <c t="s" s="30" r="E649">
        <v>4</v>
      </c>
      <c t="s" s="30" r="F649">
        <v>4</v>
      </c>
      <c t="s" s="30" r="G649">
        <v>212</v>
      </c>
      <c t="str" s="12" r="H649">
        <f>HYPERLINK("http://sofifa.com/en/fifa13winter/player/147727-vitorino-pacheco-antunes","Antunes")</f>
        <v>Antunes</v>
      </c>
      <c s="30" r="I649">
        <v>76</v>
      </c>
      <c t="s" s="30" r="J649">
        <v>117</v>
      </c>
      <c t="s" s="30" r="K649">
        <v>139</v>
      </c>
      <c t="s" s="30" r="L649">
        <v>122</v>
      </c>
      <c s="30" r="M649">
        <v>25</v>
      </c>
      <c s="26" r="N649">
        <v>4.6</v>
      </c>
      <c s="23" r="O649">
        <v>0.015</v>
      </c>
      <c s="7" r="P649"/>
      <c s="7" r="Q649"/>
      <c s="7" r="R649">
        <f>IF((P649&gt;0),O649,0)</f>
        <v>0</v>
      </c>
      <c t="str" r="S649">
        <f>CONCATENATE(F649,E649)</f>
        <v>NON FTLNON FTL</v>
      </c>
    </row>
    <row r="650">
      <c t="s" s="7" r="A650">
        <v>201</v>
      </c>
      <c s="7" r="B650">
        <v>649</v>
      </c>
      <c s="30" r="C650">
        <v>21</v>
      </c>
      <c t="s" s="30" r="D650">
        <v>136</v>
      </c>
      <c t="s" s="30" r="E650">
        <v>4</v>
      </c>
      <c t="s" s="30" r="F650">
        <v>4</v>
      </c>
      <c t="s" s="30" r="G650">
        <v>212</v>
      </c>
      <c t="str" s="12" r="H650">
        <f>HYPERLINK("http://sofifa.com/en/fifa13winter/player/147364-sergio-sanchez-ortega","Sergio Sánchez")</f>
        <v>Sergio Sánchez</v>
      </c>
      <c s="30" r="I650">
        <v>75</v>
      </c>
      <c t="s" s="30" r="J650">
        <v>109</v>
      </c>
      <c t="s" s="30" r="K650">
        <v>132</v>
      </c>
      <c t="s" s="30" r="L650">
        <v>137</v>
      </c>
      <c s="30" r="M650">
        <v>26</v>
      </c>
      <c s="26" r="N650">
        <v>3.8</v>
      </c>
      <c s="23" r="O650">
        <v>0.013</v>
      </c>
      <c s="7" r="P650"/>
      <c s="7" r="Q650"/>
      <c s="7" r="R650">
        <f>IF((P650&gt;0),O650,0)</f>
        <v>0</v>
      </c>
      <c t="str" r="S650">
        <f>CONCATENATE(F650,E650)</f>
        <v>NON FTLNON FTL</v>
      </c>
    </row>
    <row r="651">
      <c t="s" s="7" r="A651">
        <v>201</v>
      </c>
      <c s="7" r="B651">
        <v>650</v>
      </c>
      <c s="30" r="C651">
        <v>16</v>
      </c>
      <c t="s" s="30" r="D651">
        <v>136</v>
      </c>
      <c t="s" s="30" r="E651">
        <v>4</v>
      </c>
      <c t="s" s="30" r="F651">
        <v>4</v>
      </c>
      <c t="s" s="30" r="G651">
        <v>212</v>
      </c>
      <c t="str" s="12" r="H651">
        <f>HYPERLINK("http://sofifa.com/en/fifa13winter/player/146715-manuel-iturra","M. Iturra")</f>
        <v>M. Iturra</v>
      </c>
      <c s="30" r="I651">
        <v>76</v>
      </c>
      <c t="s" s="30" r="J651">
        <v>154</v>
      </c>
      <c t="s" s="30" r="K651">
        <v>182</v>
      </c>
      <c t="s" s="30" r="L651">
        <v>119</v>
      </c>
      <c s="30" r="M651">
        <v>28</v>
      </c>
      <c s="26" r="N651">
        <v>4.4</v>
      </c>
      <c s="23" r="O651">
        <v>0.015</v>
      </c>
      <c s="7" r="P651"/>
      <c s="7" r="Q651"/>
      <c s="7" r="R651">
        <f>IF((P651&gt;0),O651,0)</f>
        <v>0</v>
      </c>
      <c t="str" r="S651">
        <f>CONCATENATE(F651,E651)</f>
        <v>NON FTLNON FTL</v>
      </c>
    </row>
    <row r="652">
      <c t="s" s="7" r="A652">
        <v>201</v>
      </c>
      <c s="7" r="B652">
        <v>651</v>
      </c>
      <c s="30" r="C652">
        <v>4</v>
      </c>
      <c t="s" s="30" r="D652">
        <v>136</v>
      </c>
      <c t="s" s="30" r="E652">
        <v>4</v>
      </c>
      <c t="s" s="30" r="F652">
        <v>4</v>
      </c>
      <c t="s" s="30" r="G652">
        <v>212</v>
      </c>
      <c t="str" s="12" r="H652">
        <f>HYPERLINK("http://sofifa.com/en/fifa13winter/player/145386-diego-lugano","D. Lugano")</f>
        <v>D. Lugano</v>
      </c>
      <c s="30" r="I652">
        <v>76</v>
      </c>
      <c t="s" s="30" r="J652">
        <v>113</v>
      </c>
      <c t="s" s="30" r="K652">
        <v>134</v>
      </c>
      <c t="s" s="30" r="L652">
        <v>156</v>
      </c>
      <c s="30" r="M652">
        <v>31</v>
      </c>
      <c s="26" r="N652">
        <v>3.9</v>
      </c>
      <c s="23" r="O652">
        <v>0.017</v>
      </c>
      <c s="7" r="P652"/>
      <c s="7" r="Q652"/>
      <c s="7" r="R652">
        <f>IF((P652&gt;0),O652,0)</f>
        <v>0</v>
      </c>
      <c t="str" r="S652">
        <f>CONCATENATE(F652,E652)</f>
        <v>NON FTLNON FTL</v>
      </c>
    </row>
    <row r="653">
      <c t="s" s="7" r="A653">
        <v>201</v>
      </c>
      <c s="7" r="B653">
        <v>652</v>
      </c>
      <c s="30" r="C653">
        <v>1</v>
      </c>
      <c t="s" s="30" r="D653">
        <v>136</v>
      </c>
      <c t="s" s="30" r="E653">
        <v>4</v>
      </c>
      <c t="s" s="30" r="F653">
        <v>4</v>
      </c>
      <c t="s" s="30" r="G653">
        <v>212</v>
      </c>
      <c t="str" s="12" r="H653">
        <f>HYPERLINK("http://sofifa.com/en/fifa13winter/player/146589-carlos-idriss-kameni","C. Kameni")</f>
        <v>C. Kameni</v>
      </c>
      <c s="30" r="I653">
        <v>75</v>
      </c>
      <c t="s" s="30" r="J653">
        <v>106</v>
      </c>
      <c t="s" s="30" r="K653">
        <v>173</v>
      </c>
      <c t="s" s="30" r="L653">
        <v>180</v>
      </c>
      <c s="30" r="M653">
        <v>28</v>
      </c>
      <c s="26" r="N653">
        <v>3.3</v>
      </c>
      <c s="23" r="O653">
        <v>0.013</v>
      </c>
      <c s="7" r="P653"/>
      <c s="7" r="Q653"/>
      <c s="7" r="R653">
        <f>IF((P653&gt;0),O653,0)</f>
        <v>0</v>
      </c>
      <c t="str" r="S653">
        <f>CONCATENATE(F653,E653)</f>
        <v>NON FTLNON FTL</v>
      </c>
    </row>
    <row r="654">
      <c t="s" s="7" r="A654">
        <v>201</v>
      </c>
      <c s="7" r="B654">
        <v>653</v>
      </c>
      <c s="30" r="C654">
        <v>23</v>
      </c>
      <c t="s" s="30" r="D654">
        <v>136</v>
      </c>
      <c t="s" s="30" r="E654">
        <v>4</v>
      </c>
      <c t="s" s="30" r="F654">
        <v>4</v>
      </c>
      <c t="s" s="30" r="G654">
        <v>212</v>
      </c>
      <c t="str" s="12" r="H654">
        <f>HYPERLINK("http://sofifa.com/en/fifa13winter/player/145943-oguchi-onyewu","O. Onyewu")</f>
        <v>O. Onyewu</v>
      </c>
      <c s="30" r="I654">
        <v>70</v>
      </c>
      <c t="s" s="30" r="J654">
        <v>113</v>
      </c>
      <c t="s" s="30" r="K654">
        <v>188</v>
      </c>
      <c t="s" s="30" r="L654">
        <v>194</v>
      </c>
      <c s="30" r="M654">
        <v>30</v>
      </c>
      <c s="26" r="N654">
        <v>1.7</v>
      </c>
      <c s="23" r="O654">
        <v>0.008</v>
      </c>
      <c s="7" r="P654"/>
      <c s="7" r="Q654"/>
      <c s="7" r="R654">
        <f>IF((P654&gt;0),O654,0)</f>
        <v>0</v>
      </c>
      <c t="str" r="S654">
        <f>CONCATENATE(F654,E654)</f>
        <v>NON FTLNON FTL</v>
      </c>
    </row>
    <row r="655">
      <c t="s" s="7" r="A655">
        <v>201</v>
      </c>
      <c s="7" r="B655">
        <v>654</v>
      </c>
      <c s="30" r="C655">
        <v>24</v>
      </c>
      <c t="s" s="30" r="D655">
        <v>136</v>
      </c>
      <c t="s" s="30" r="E655">
        <v>4</v>
      </c>
      <c t="s" s="30" r="F655">
        <v>4</v>
      </c>
      <c t="s" s="30" r="G655">
        <v>212</v>
      </c>
      <c t="str" s="12" r="H655">
        <f>HYPERLINK("http://sofifa.com/en/fifa13winter/player/145673-roque-santa-cruz","R. Santa Cruz")</f>
        <v>R. Santa Cruz</v>
      </c>
      <c s="30" r="I655">
        <v>76</v>
      </c>
      <c t="s" s="30" r="J655">
        <v>129</v>
      </c>
      <c t="s" s="30" r="K655">
        <v>169</v>
      </c>
      <c t="s" s="30" r="L655">
        <v>193</v>
      </c>
      <c s="30" r="M655">
        <v>31</v>
      </c>
      <c s="26" r="N655">
        <v>4.7</v>
      </c>
      <c s="23" r="O655">
        <v>0.017</v>
      </c>
      <c s="7" r="P655"/>
      <c s="7" r="Q655"/>
      <c s="7" r="R655">
        <f>IF((P655&gt;0),O655,0)</f>
        <v>0</v>
      </c>
      <c t="str" r="S655">
        <f>CONCATENATE(F655,E655)</f>
        <v>NON FTLNON FTL</v>
      </c>
    </row>
    <row r="656">
      <c t="s" s="7" r="A656">
        <v>201</v>
      </c>
      <c s="7" r="B656">
        <v>655</v>
      </c>
      <c s="30" r="C656">
        <v>17</v>
      </c>
      <c t="s" s="30" r="D656">
        <v>136</v>
      </c>
      <c t="s" s="30" r="E656">
        <v>4</v>
      </c>
      <c t="s" s="30" r="F656">
        <v>4</v>
      </c>
      <c t="s" s="30" r="G656">
        <v>212</v>
      </c>
      <c t="str" s="12" r="H656">
        <f>HYPERLINK("http://sofifa.com/en/fifa13winter/player/145258-sergio-paulo-barbosa-valente","Duda")</f>
        <v>Duda</v>
      </c>
      <c s="30" r="I656">
        <v>73</v>
      </c>
      <c t="s" s="30" r="J656">
        <v>128</v>
      </c>
      <c t="s" s="30" r="K656">
        <v>139</v>
      </c>
      <c t="s" s="30" r="L656">
        <v>142</v>
      </c>
      <c s="30" r="M656">
        <v>32</v>
      </c>
      <c s="26" r="N656">
        <v>2.5</v>
      </c>
      <c s="23" r="O656">
        <v>0.012</v>
      </c>
      <c s="7" r="P656"/>
      <c s="7" r="Q656"/>
      <c s="7" r="R656">
        <f>IF((P656&gt;0),O656,0)</f>
        <v>0</v>
      </c>
      <c t="str" r="S656">
        <f>CONCATENATE(F656,E656)</f>
        <v>NON FTLNON FTL</v>
      </c>
    </row>
    <row r="657">
      <c t="s" s="7" r="A657">
        <v>201</v>
      </c>
      <c s="7" r="B657">
        <v>656</v>
      </c>
      <c s="30" r="C657">
        <v>45</v>
      </c>
      <c t="s" s="30" r="D657">
        <v>147</v>
      </c>
      <c t="s" s="30" r="E657">
        <v>4</v>
      </c>
      <c t="s" s="30" r="F657">
        <v>4</v>
      </c>
      <c t="s" s="30" r="G657">
        <v>212</v>
      </c>
      <c t="str" s="12" r="H657">
        <f>HYPERLINK("http://sofifa.com/en/fifa13winter/player/151056-fabrice-olinga","F. Olinga")</f>
        <v>F. Olinga</v>
      </c>
      <c s="30" r="I657">
        <v>62</v>
      </c>
      <c t="s" s="30" r="J657">
        <v>129</v>
      </c>
      <c t="s" s="30" r="K657">
        <v>187</v>
      </c>
      <c t="s" s="30" r="L657">
        <v>125</v>
      </c>
      <c s="30" r="M657">
        <v>16</v>
      </c>
      <c s="26" r="N657">
        <v>1</v>
      </c>
      <c s="23" r="O657">
        <v>0.003</v>
      </c>
      <c s="7" r="P657"/>
      <c s="7" r="Q657"/>
      <c s="7" r="R657">
        <f>IF((P657&gt;0),O657,0)</f>
        <v>0</v>
      </c>
      <c t="str" r="S657">
        <f>CONCATENATE(F657,E657)</f>
        <v>NON FTLNON FTL</v>
      </c>
    </row>
    <row r="658">
      <c t="s" s="7" r="A658">
        <v>201</v>
      </c>
      <c s="7" r="B658">
        <v>657</v>
      </c>
      <c s="30" r="C658">
        <v>46</v>
      </c>
      <c t="s" s="30" r="D658">
        <v>147</v>
      </c>
      <c t="s" s="30" r="E658">
        <v>4</v>
      </c>
      <c t="s" s="30" r="F658">
        <v>4</v>
      </c>
      <c t="s" s="30" r="G658">
        <v>212</v>
      </c>
      <c t="str" s="12" r="H658">
        <f>HYPERLINK("http://sofifa.com/en/fifa13winter/player/149773-alejandro-fernandez-portillo","Álex Portillo")</f>
        <v>Álex Portillo</v>
      </c>
      <c s="30" r="I658">
        <v>54</v>
      </c>
      <c t="s" s="30" r="J658">
        <v>117</v>
      </c>
      <c t="s" s="30" r="K658">
        <v>114</v>
      </c>
      <c t="s" s="30" r="L658">
        <v>146</v>
      </c>
      <c s="30" r="M658">
        <v>19</v>
      </c>
      <c s="26" r="N658">
        <v>0.1</v>
      </c>
      <c s="23" r="O658">
        <v>0.002</v>
      </c>
      <c s="7" r="P658"/>
      <c s="7" r="Q658"/>
      <c s="7" r="R658">
        <f>IF((P658&gt;0),O658,0)</f>
        <v>0</v>
      </c>
      <c t="str" r="S658">
        <f>CONCATENATE(F658,E658)</f>
        <v>NON FTLNON FTL</v>
      </c>
    </row>
    <row r="659">
      <c t="s" s="7" r="A659">
        <v>201</v>
      </c>
      <c s="7" r="B659">
        <v>658</v>
      </c>
      <c s="30" r="C659">
        <v>48</v>
      </c>
      <c t="s" s="30" r="D659">
        <v>147</v>
      </c>
      <c t="s" s="30" r="E659">
        <v>4</v>
      </c>
      <c t="s" s="30" r="F659">
        <v>4</v>
      </c>
      <c t="s" s="30" r="G659">
        <v>212</v>
      </c>
      <c t="str" s="12" r="H659">
        <f>HYPERLINK("http://sofifa.com/en/fifa13winter/player/150140-pedro-merino-merida","Pedro Mérida")</f>
        <v>Pedro Mérida</v>
      </c>
      <c s="30" r="I659">
        <v>54</v>
      </c>
      <c t="s" s="30" r="J659">
        <v>129</v>
      </c>
      <c t="s" s="30" r="K659">
        <v>152</v>
      </c>
      <c t="s" s="30" r="L659">
        <v>179</v>
      </c>
      <c s="30" r="M659">
        <v>18</v>
      </c>
      <c s="26" r="N659">
        <v>0.1</v>
      </c>
      <c s="23" r="O659">
        <v>0.002</v>
      </c>
      <c s="7" r="P659"/>
      <c s="7" r="Q659"/>
      <c s="7" r="R659">
        <f>IF((P659&gt;0),O659,0)</f>
        <v>0</v>
      </c>
      <c t="str" r="S659">
        <f>CONCATENATE(F659,E659)</f>
        <v>NON FTLNON FTL</v>
      </c>
    </row>
    <row r="660">
      <c t="s" s="7" r="A660">
        <v>201</v>
      </c>
      <c s="7" r="B660">
        <v>659</v>
      </c>
      <c s="30" r="C660">
        <v>47</v>
      </c>
      <c t="s" s="30" r="D660">
        <v>147</v>
      </c>
      <c t="s" s="30" r="E660">
        <v>4</v>
      </c>
      <c t="s" s="30" r="F660">
        <v>4</v>
      </c>
      <c t="s" s="30" r="G660">
        <v>212</v>
      </c>
      <c t="str" s="12" r="H660">
        <f>HYPERLINK("http://sofifa.com/en/fifa13winter/player/149105-diego-martin-rodriguez","D. Rodríguez")</f>
        <v>D. Rodríguez</v>
      </c>
      <c s="30" r="I660">
        <v>61</v>
      </c>
      <c t="s" s="30" r="J660">
        <v>113</v>
      </c>
      <c t="s" s="30" r="K660">
        <v>173</v>
      </c>
      <c t="s" s="30" r="L660">
        <v>137</v>
      </c>
      <c s="30" r="M660">
        <v>21</v>
      </c>
      <c s="26" r="N660">
        <v>0.6</v>
      </c>
      <c s="23" r="O660">
        <v>0.003</v>
      </c>
      <c s="7" r="P660"/>
      <c s="7" r="Q660"/>
      <c s="7" r="R660">
        <f>IF((P660&gt;0),O660,0)</f>
        <v>0</v>
      </c>
      <c t="str" r="S660">
        <f>CONCATENATE(F660,E660)</f>
        <v>NON FTLNON FTL</v>
      </c>
    </row>
    <row r="661">
      <c t="s" s="7" r="A661">
        <v>201</v>
      </c>
      <c s="7" r="B661">
        <v>660</v>
      </c>
      <c s="30" r="C661">
        <v>42</v>
      </c>
      <c t="s" s="30" r="D661">
        <v>147</v>
      </c>
      <c t="s" s="30" r="E661">
        <v>4</v>
      </c>
      <c t="s" s="30" r="F661">
        <v>4</v>
      </c>
      <c t="s" s="30" r="G661">
        <v>212</v>
      </c>
      <c t="str" s="12" r="H661">
        <f>HYPERLINK("http://sofifa.com/en/fifa13winter/player/150576-samuel-castillejo-azuaga","Samu Castillejo")</f>
        <v>Samu Castillejo</v>
      </c>
      <c s="30" r="I661">
        <v>59</v>
      </c>
      <c t="s" s="30" r="J661">
        <v>128</v>
      </c>
      <c t="s" s="30" r="K661">
        <v>145</v>
      </c>
      <c t="s" s="30" r="L661">
        <v>210</v>
      </c>
      <c s="30" r="M661">
        <v>17</v>
      </c>
      <c s="26" r="N661">
        <v>0.5</v>
      </c>
      <c s="23" r="O661">
        <v>0.002</v>
      </c>
      <c s="7" r="P661"/>
      <c s="7" r="Q661"/>
      <c s="7" r="R661">
        <f>IF((P661&gt;0),O661,0)</f>
        <v>0</v>
      </c>
      <c t="str" r="S661">
        <f>CONCATENATE(F661,E661)</f>
        <v>NON FTLNON FTL</v>
      </c>
    </row>
    <row r="662">
      <c t="s" s="7" r="A662">
        <v>201</v>
      </c>
      <c s="7" r="B662">
        <v>661</v>
      </c>
      <c s="30" r="C662">
        <v>32</v>
      </c>
      <c t="s" s="30" r="D662">
        <v>147</v>
      </c>
      <c t="s" s="30" r="E662">
        <v>4</v>
      </c>
      <c t="s" s="30" r="F662">
        <v>4</v>
      </c>
      <c t="s" s="30" r="G662">
        <v>212</v>
      </c>
      <c t="str" s="12" r="H662">
        <f>HYPERLINK("http://sofifa.com/en/fifa13winter/player/149331-pol-freixanet-viejo","Pol")</f>
        <v>Pol</v>
      </c>
      <c s="30" r="I662">
        <v>53</v>
      </c>
      <c t="s" s="30" r="J662">
        <v>106</v>
      </c>
      <c t="s" s="30" r="K662">
        <v>144</v>
      </c>
      <c t="s" s="30" r="L662">
        <v>153</v>
      </c>
      <c s="30" r="M662">
        <v>21</v>
      </c>
      <c s="26" r="N662">
        <v>0.1</v>
      </c>
      <c s="23" r="O662">
        <v>0.002</v>
      </c>
      <c s="7" r="P662"/>
      <c s="7" r="Q662"/>
      <c s="7" r="R662">
        <f>IF((P662&gt;0),O662,0)</f>
        <v>0</v>
      </c>
      <c t="str" r="S662">
        <f>CONCATENATE(F662,E662)</f>
        <v>NON FTLNON FTL</v>
      </c>
    </row>
    <row r="663">
      <c t="s" s="7" r="A663">
        <v>201</v>
      </c>
      <c s="7" r="B663">
        <v>662</v>
      </c>
      <c s="30" r="C663">
        <v>40</v>
      </c>
      <c t="s" s="30" r="D663">
        <v>147</v>
      </c>
      <c t="s" s="30" r="E663">
        <v>4</v>
      </c>
      <c t="s" s="30" r="F663">
        <v>4</v>
      </c>
      <c t="s" s="30" r="G663">
        <v>212</v>
      </c>
      <c t="str" s="12" r="H663">
        <f>HYPERLINK("http://sofifa.com/en/fifa13winter/player/148898-samuel-garcia-sanchez","Samu")</f>
        <v>Samu</v>
      </c>
      <c s="30" r="I663">
        <v>54</v>
      </c>
      <c t="s" s="30" r="J663">
        <v>171</v>
      </c>
      <c t="s" s="30" r="K663">
        <v>118</v>
      </c>
      <c t="s" s="30" r="L663">
        <v>111</v>
      </c>
      <c s="30" r="M663">
        <v>22</v>
      </c>
      <c s="26" r="N663">
        <v>0.1</v>
      </c>
      <c s="23" r="O663">
        <v>0.002</v>
      </c>
      <c s="7" r="P663"/>
      <c s="7" r="Q663"/>
      <c s="7" r="R663">
        <f>IF((P663&gt;0),O663,0)</f>
        <v>0</v>
      </c>
      <c t="str" r="S663">
        <f>CONCATENATE(F663,E663)</f>
        <v>NON FTLNON FTL</v>
      </c>
    </row>
    <row r="664">
      <c t="s" s="7" r="A664">
        <v>201</v>
      </c>
      <c s="7" r="B664">
        <v>663</v>
      </c>
      <c s="30" r="C664">
        <v>34</v>
      </c>
      <c t="s" s="30" r="D664">
        <v>147</v>
      </c>
      <c t="s" s="30" r="E664">
        <v>4</v>
      </c>
      <c t="s" s="30" r="F664">
        <v>4</v>
      </c>
      <c t="s" s="30" r="G664">
        <v>212</v>
      </c>
      <c t="str" s="12" r="H664">
        <f>HYPERLINK("http://sofifa.com/en/fifa13winter/player/148793-sergio-calatayud-lebron","Cala")</f>
        <v>Cala</v>
      </c>
      <c s="30" r="I664">
        <v>62</v>
      </c>
      <c t="s" s="30" r="J664">
        <v>128</v>
      </c>
      <c t="s" s="30" r="K664">
        <v>187</v>
      </c>
      <c t="s" s="30" r="L664">
        <v>149</v>
      </c>
      <c s="30" r="M664">
        <v>22</v>
      </c>
      <c s="26" r="N664">
        <v>0.8</v>
      </c>
      <c s="23" r="O664">
        <v>0.003</v>
      </c>
      <c s="7" r="P664"/>
      <c s="7" r="Q664"/>
      <c s="7" r="R664">
        <f>IF((P664&gt;0),O664,0)</f>
        <v>0</v>
      </c>
      <c t="str" r="S664">
        <f>CONCATENATE(F664,E664)</f>
        <v>NON FTLNON FTL</v>
      </c>
    </row>
    <row r="665">
      <c t="s" s="7" r="A665">
        <v>201</v>
      </c>
      <c s="7" r="B665">
        <v>664</v>
      </c>
      <c s="30" r="C665">
        <v>30</v>
      </c>
      <c t="s" s="30" r="D665">
        <v>147</v>
      </c>
      <c t="s" s="30" r="E665">
        <v>4</v>
      </c>
      <c t="s" s="30" r="F665">
        <v>4</v>
      </c>
      <c t="s" s="30" r="G665">
        <v>212</v>
      </c>
      <c t="str" s="12" r="H665">
        <f>HYPERLINK("http://sofifa.com/en/fifa13winter/player/148805-francisco-borja-jurado-delgado","Jurado")</f>
        <v>Jurado</v>
      </c>
      <c s="30" r="I665">
        <v>61</v>
      </c>
      <c t="s" s="30" r="J665">
        <v>109</v>
      </c>
      <c t="s" s="30" r="K665">
        <v>130</v>
      </c>
      <c t="s" s="30" r="L665">
        <v>140</v>
      </c>
      <c s="30" r="M665">
        <v>22</v>
      </c>
      <c s="26" r="N665">
        <v>0.6</v>
      </c>
      <c s="23" r="O665">
        <v>0.003</v>
      </c>
      <c s="7" r="P665"/>
      <c s="7" r="Q665"/>
      <c s="7" r="R665">
        <f>IF((P665&gt;0),O665,0)</f>
        <v>0</v>
      </c>
      <c t="str" r="S665">
        <f>CONCATENATE(F665,E665)</f>
        <v>NON FTLNON FTL</v>
      </c>
    </row>
    <row r="666">
      <c t="s" s="7" r="A666">
        <v>201</v>
      </c>
      <c s="7" r="B666">
        <v>665</v>
      </c>
      <c s="30" r="C666">
        <v>39</v>
      </c>
      <c t="s" s="30" r="D666">
        <v>147</v>
      </c>
      <c t="s" s="30" r="E666">
        <v>4</v>
      </c>
      <c t="s" s="30" r="F666">
        <v>4</v>
      </c>
      <c t="s" s="30" r="G666">
        <v>212</v>
      </c>
      <c t="str" s="12" r="H666">
        <f>HYPERLINK("http://sofifa.com/en/fifa13winter/player/150275-daniel-mauri-ricardo","Mauri")</f>
        <v>Mauri</v>
      </c>
      <c s="30" r="I666">
        <v>54</v>
      </c>
      <c t="s" s="30" r="J666">
        <v>129</v>
      </c>
      <c t="s" s="30" r="K666">
        <v>139</v>
      </c>
      <c t="s" s="30" r="L666">
        <v>146</v>
      </c>
      <c s="30" r="M666">
        <v>18</v>
      </c>
      <c s="26" r="N666">
        <v>0.1</v>
      </c>
      <c s="23" r="O666">
        <v>0.002</v>
      </c>
      <c s="7" r="P666"/>
      <c s="7" r="Q666"/>
      <c s="7" r="R666">
        <f>IF((P666&gt;0),O666,0)</f>
        <v>0</v>
      </c>
      <c t="str" r="S666">
        <f>CONCATENATE(F666,E666)</f>
        <v>NON FTLNON FTL</v>
      </c>
    </row>
    <row r="667">
      <c t="s" s="7" r="A667">
        <v>201</v>
      </c>
      <c s="7" r="B667">
        <v>666</v>
      </c>
      <c s="30" r="C667">
        <v>1</v>
      </c>
      <c t="s" s="30" r="D667">
        <v>106</v>
      </c>
      <c t="s" s="30" r="E667">
        <v>4</v>
      </c>
      <c t="s" s="30" r="F667">
        <v>4</v>
      </c>
      <c t="s" s="30" r="G667">
        <v>213</v>
      </c>
      <c t="str" s="12" r="H667">
        <f>HYPERLINK("http://sofifa.com/en/fifa13winter/player/147241-emiliano-viviano","E. Viviano")</f>
        <v>E. Viviano</v>
      </c>
      <c s="30" r="I667">
        <v>78</v>
      </c>
      <c t="s" s="30" r="J667">
        <v>106</v>
      </c>
      <c t="s" s="30" r="K667">
        <v>176</v>
      </c>
      <c t="s" s="30" r="L667">
        <v>185</v>
      </c>
      <c s="30" r="M667">
        <v>26</v>
      </c>
      <c s="26" r="N667">
        <v>5.3</v>
      </c>
      <c s="23" r="O667">
        <v>0.019</v>
      </c>
      <c s="7" r="P667"/>
      <c s="7" r="Q667"/>
      <c s="7" r="R667">
        <f>IF((P667&gt;0),O667,0)</f>
        <v>0</v>
      </c>
      <c t="str" r="S667">
        <f>CONCATENATE(F667,E667)</f>
        <v>NON FTLNON FTL</v>
      </c>
    </row>
    <row r="668">
      <c t="s" s="7" r="A668">
        <v>201</v>
      </c>
      <c s="7" r="B668">
        <v>667</v>
      </c>
      <c s="30" r="C668">
        <v>40</v>
      </c>
      <c t="s" s="30" r="D668">
        <v>112</v>
      </c>
      <c t="s" s="30" r="E668">
        <v>4</v>
      </c>
      <c t="s" s="30" r="F668">
        <v>4</v>
      </c>
      <c t="s" s="30" r="G668">
        <v>213</v>
      </c>
      <c t="str" s="12" r="H668">
        <f>HYPERLINK("http://sofifa.com/en/fifa13winter/player/147878-nenad-tomovic","N. Tomović")</f>
        <v>N. Tomović</v>
      </c>
      <c s="30" r="I668">
        <v>77</v>
      </c>
      <c t="s" s="30" r="J668">
        <v>113</v>
      </c>
      <c t="s" s="30" r="K668">
        <v>167</v>
      </c>
      <c t="s" s="30" r="L668">
        <v>183</v>
      </c>
      <c s="30" r="M668">
        <v>25</v>
      </c>
      <c s="26" r="N668">
        <v>5.7</v>
      </c>
      <c s="23" r="O668">
        <v>0.017</v>
      </c>
      <c s="7" r="P668"/>
      <c s="7" r="Q668"/>
      <c s="7" r="R668">
        <f>IF((P668&gt;0),O668,0)</f>
        <v>0</v>
      </c>
      <c t="str" r="S668">
        <f>CONCATENATE(F668,E668)</f>
        <v>NON FTLNON FTL</v>
      </c>
    </row>
    <row r="669">
      <c t="s" s="7" r="A669">
        <v>201</v>
      </c>
      <c s="7" r="B669">
        <v>668</v>
      </c>
      <c s="30" r="C669">
        <v>2</v>
      </c>
      <c t="s" s="30" r="D669">
        <v>113</v>
      </c>
      <c t="s" s="30" r="E669">
        <v>4</v>
      </c>
      <c t="s" s="30" r="F669">
        <v>4</v>
      </c>
      <c t="s" s="30" r="G669">
        <v>213</v>
      </c>
      <c t="str" s="12" r="H669">
        <f>HYPERLINK("http://sofifa.com/en/fifa13winter/player/146641-gonzalo-rodriguez","G. Rodríguez")</f>
        <v>G. Rodríguez</v>
      </c>
      <c s="30" r="I669">
        <v>79</v>
      </c>
      <c t="s" s="30" r="J669">
        <v>113</v>
      </c>
      <c t="s" s="30" r="K669">
        <v>118</v>
      </c>
      <c t="s" s="30" r="L669">
        <v>158</v>
      </c>
      <c s="30" r="M669">
        <v>28</v>
      </c>
      <c s="26" r="N669">
        <v>7.3</v>
      </c>
      <c s="23" r="O669">
        <v>0.023</v>
      </c>
      <c s="7" r="P669"/>
      <c s="7" r="Q669"/>
      <c s="7" r="R669">
        <f>IF((P669&gt;0),O669,0)</f>
        <v>0</v>
      </c>
      <c t="str" r="S669">
        <f>CONCATENATE(F669,E669)</f>
        <v>NON FTLNON FTL</v>
      </c>
    </row>
    <row r="670">
      <c t="s" s="7" r="A670">
        <v>201</v>
      </c>
      <c s="7" r="B670">
        <v>669</v>
      </c>
      <c s="30" r="C670">
        <v>4</v>
      </c>
      <c t="s" s="30" r="D670">
        <v>116</v>
      </c>
      <c t="s" s="30" r="E670">
        <v>4</v>
      </c>
      <c t="s" s="30" r="F670">
        <v>4</v>
      </c>
      <c t="s" s="30" r="G670">
        <v>213</v>
      </c>
      <c t="str" s="12" r="H670">
        <f>HYPERLINK("http://sofifa.com/en/fifa13winter/player/147677-facundo-roncaglia","F. Roncaglia")</f>
        <v>F. Roncaglia</v>
      </c>
      <c s="30" r="I670">
        <v>78</v>
      </c>
      <c t="s" s="30" r="J670">
        <v>113</v>
      </c>
      <c t="s" s="30" r="K670">
        <v>145</v>
      </c>
      <c t="s" s="30" r="L670">
        <v>137</v>
      </c>
      <c s="30" r="M670">
        <v>25</v>
      </c>
      <c s="26" r="N670">
        <v>6.4</v>
      </c>
      <c s="23" r="O670">
        <v>0.019</v>
      </c>
      <c s="7" r="P670"/>
      <c s="7" r="Q670"/>
      <c s="7" r="R670">
        <f>IF((P670&gt;0),O670,0)</f>
        <v>0</v>
      </c>
      <c t="str" r="S670">
        <f>CONCATENATE(F670,E670)</f>
        <v>NON FTLNON FTL</v>
      </c>
    </row>
    <row r="671">
      <c t="s" s="7" r="A671">
        <v>201</v>
      </c>
      <c s="7" r="B671">
        <v>670</v>
      </c>
      <c s="30" r="C671">
        <v>7</v>
      </c>
      <c t="s" s="30" r="D671">
        <v>154</v>
      </c>
      <c t="s" s="30" r="E671">
        <v>4</v>
      </c>
      <c t="s" s="30" r="F671">
        <v>4</v>
      </c>
      <c t="s" s="30" r="G671">
        <v>213</v>
      </c>
      <c t="str" s="12" r="H671">
        <f>HYPERLINK("http://sofifa.com/en/fifa13winter/player/144968-david-pizarro","D. Pizarro")</f>
        <v>D. Pizarro</v>
      </c>
      <c s="30" r="I671">
        <v>80</v>
      </c>
      <c t="s" s="30" r="J671">
        <v>124</v>
      </c>
      <c t="s" s="30" r="K671">
        <v>195</v>
      </c>
      <c t="s" s="30" r="L671">
        <v>149</v>
      </c>
      <c s="30" r="M671">
        <v>32</v>
      </c>
      <c s="26" r="N671">
        <v>7.6</v>
      </c>
      <c s="23" r="O671">
        <v>0.036</v>
      </c>
      <c s="7" r="P671"/>
      <c s="7" r="Q671"/>
      <c s="7" r="R671">
        <f>IF((P671&gt;0),O671,0)</f>
        <v>0</v>
      </c>
      <c t="str" r="S671">
        <f>CONCATENATE(F671,E671)</f>
        <v>NON FTLNON FTL</v>
      </c>
    </row>
    <row r="672">
      <c t="s" s="7" r="A672">
        <v>201</v>
      </c>
      <c s="7" r="B672">
        <v>671</v>
      </c>
      <c s="30" r="C672">
        <v>11</v>
      </c>
      <c t="s" s="30" r="D672">
        <v>120</v>
      </c>
      <c t="s" s="30" r="E672">
        <v>4</v>
      </c>
      <c t="s" s="30" r="F672">
        <v>4</v>
      </c>
      <c t="s" s="30" r="G672">
        <v>213</v>
      </c>
      <c t="str" s="12" r="H672">
        <f>HYPERLINK("http://sofifa.com/en/fifa13winter/player/148148-juan-cuadrado","J. Cuadrado")</f>
        <v>J. Cuadrado</v>
      </c>
      <c s="30" r="I672">
        <v>79</v>
      </c>
      <c t="s" s="30" r="J672">
        <v>120</v>
      </c>
      <c t="s" s="30" r="K672">
        <v>172</v>
      </c>
      <c t="s" s="30" r="L672">
        <v>125</v>
      </c>
      <c s="30" r="M672">
        <v>24</v>
      </c>
      <c s="26" r="N672">
        <v>9</v>
      </c>
      <c s="23" r="O672">
        <v>0.022</v>
      </c>
      <c s="7" r="P672"/>
      <c s="7" r="Q672"/>
      <c s="7" r="R672">
        <f>IF((P672&gt;0),O672,0)</f>
        <v>0</v>
      </c>
      <c t="str" r="S672">
        <f>CONCATENATE(F672,E672)</f>
        <v>NON FTLNON FTL</v>
      </c>
    </row>
    <row r="673">
      <c t="s" s="7" r="A673">
        <v>201</v>
      </c>
      <c s="7" r="B673">
        <v>672</v>
      </c>
      <c s="30" r="C673">
        <v>10</v>
      </c>
      <c t="s" s="30" r="D673">
        <v>123</v>
      </c>
      <c t="s" s="30" r="E673">
        <v>4</v>
      </c>
      <c t="s" s="30" r="F673">
        <v>4</v>
      </c>
      <c t="s" s="30" r="G673">
        <v>213</v>
      </c>
      <c t="str" s="12" r="H673">
        <f>HYPERLINK("http://sofifa.com/en/fifa13winter/player/146729-alberto-aquilani","A. Aquilani")</f>
        <v>A. Aquilani</v>
      </c>
      <c s="30" r="I673">
        <v>81</v>
      </c>
      <c t="s" s="30" r="J673">
        <v>124</v>
      </c>
      <c t="s" s="30" r="K673">
        <v>173</v>
      </c>
      <c t="s" s="30" r="L673">
        <v>138</v>
      </c>
      <c s="30" r="M673">
        <v>28</v>
      </c>
      <c s="26" r="N673">
        <v>11.6</v>
      </c>
      <c s="23" r="O673">
        <v>0.042</v>
      </c>
      <c s="7" r="P673"/>
      <c s="7" r="Q673"/>
      <c s="7" r="R673">
        <f>IF((P673&gt;0),O673,0)</f>
        <v>0</v>
      </c>
      <c t="str" r="S673">
        <f>CONCATENATE(F673,E673)</f>
        <v>NON FTLNON FTL</v>
      </c>
    </row>
    <row r="674">
      <c t="s" s="7" r="A674">
        <v>201</v>
      </c>
      <c s="7" r="B674">
        <v>673</v>
      </c>
      <c s="30" r="C674">
        <v>20</v>
      </c>
      <c t="s" s="30" r="D674">
        <v>126</v>
      </c>
      <c t="s" s="30" r="E674">
        <v>4</v>
      </c>
      <c t="s" s="30" r="F674">
        <v>4</v>
      </c>
      <c t="s" s="30" r="G674">
        <v>213</v>
      </c>
      <c t="str" s="12" r="H674">
        <f>HYPERLINK("http://sofifa.com/en/fifa13winter/player/146918-borja-valero-iglesias","Borja Valero")</f>
        <v>Borja Valero</v>
      </c>
      <c s="30" r="I674">
        <v>83</v>
      </c>
      <c t="s" s="30" r="J674">
        <v>124</v>
      </c>
      <c t="s" s="30" r="K674">
        <v>182</v>
      </c>
      <c t="s" s="30" r="L674">
        <v>111</v>
      </c>
      <c s="30" r="M674">
        <v>27</v>
      </c>
      <c s="26" r="N674">
        <v>15.9</v>
      </c>
      <c s="23" r="O674">
        <v>0.068</v>
      </c>
      <c s="7" r="P674"/>
      <c s="7" r="Q674"/>
      <c s="7" r="R674">
        <f>IF((P674&gt;0),O674,0)</f>
        <v>0</v>
      </c>
      <c t="str" r="S674">
        <f>CONCATENATE(F674,E674)</f>
        <v>NON FTLNON FTL</v>
      </c>
    </row>
    <row r="675">
      <c t="s" s="7" r="A675">
        <v>201</v>
      </c>
      <c s="7" r="B675">
        <v>674</v>
      </c>
      <c s="30" r="C675">
        <v>23</v>
      </c>
      <c t="s" s="30" r="D675">
        <v>128</v>
      </c>
      <c t="s" s="30" r="E675">
        <v>4</v>
      </c>
      <c t="s" s="30" r="F675">
        <v>4</v>
      </c>
      <c t="s" s="30" r="G675">
        <v>213</v>
      </c>
      <c t="str" s="12" r="H675">
        <f>HYPERLINK("http://sofifa.com/en/fifa13winter/player/145882-manuel-pasqual","M. Pasqual")</f>
        <v>M. Pasqual</v>
      </c>
      <c s="30" r="I675">
        <v>77</v>
      </c>
      <c t="s" s="30" r="J675">
        <v>128</v>
      </c>
      <c t="s" s="30" r="K675">
        <v>118</v>
      </c>
      <c t="s" s="30" r="L675">
        <v>142</v>
      </c>
      <c s="30" r="M675">
        <v>30</v>
      </c>
      <c s="26" r="N675">
        <v>5</v>
      </c>
      <c s="23" r="O675">
        <v>0.019</v>
      </c>
      <c s="7" r="P675"/>
      <c s="7" r="Q675"/>
      <c s="7" r="R675">
        <f>IF((P675&gt;0),O675,0)</f>
        <v>0</v>
      </c>
      <c t="str" r="S675">
        <f>CONCATENATE(F675,E675)</f>
        <v>NON FTLNON FTL</v>
      </c>
    </row>
    <row r="676">
      <c t="s" s="7" r="A676">
        <v>201</v>
      </c>
      <c s="7" r="B676">
        <v>675</v>
      </c>
      <c s="30" r="C676">
        <v>22</v>
      </c>
      <c t="s" s="30" r="D676">
        <v>131</v>
      </c>
      <c t="s" s="30" r="E676">
        <v>4</v>
      </c>
      <c t="s" s="30" r="F676">
        <v>4</v>
      </c>
      <c t="s" s="30" r="G676">
        <v>213</v>
      </c>
      <c t="str" s="12" r="H676">
        <f>HYPERLINK("http://sofifa.com/en/fifa13winter/player/149369-adem-ljajic","A. Ljajić")</f>
        <v>A. Ljajić</v>
      </c>
      <c s="30" r="I676">
        <v>79</v>
      </c>
      <c t="s" s="30" r="J676">
        <v>170</v>
      </c>
      <c t="s" s="30" r="K676">
        <v>143</v>
      </c>
      <c t="s" s="30" r="L676">
        <v>160</v>
      </c>
      <c s="30" r="M676">
        <v>20</v>
      </c>
      <c s="26" r="N676">
        <v>8.9</v>
      </c>
      <c s="23" r="O676">
        <v>0.018</v>
      </c>
      <c s="7" r="P676"/>
      <c s="7" r="Q676"/>
      <c s="7" r="R676">
        <f>IF((P676&gt;0),O676,0)</f>
        <v>0</v>
      </c>
      <c t="str" r="S676">
        <f>CONCATENATE(F676,E676)</f>
        <v>NON FTLNON FTL</v>
      </c>
    </row>
    <row r="677">
      <c t="s" s="7" r="A677">
        <v>201</v>
      </c>
      <c s="7" r="B677">
        <v>676</v>
      </c>
      <c s="30" r="C677">
        <v>8</v>
      </c>
      <c t="s" s="30" r="D677">
        <v>133</v>
      </c>
      <c t="s" s="30" r="E677">
        <v>4</v>
      </c>
      <c t="s" s="30" r="F677">
        <v>4</v>
      </c>
      <c t="s" s="30" r="G677">
        <v>213</v>
      </c>
      <c t="str" s="12" r="H677">
        <f>HYPERLINK("http://sofifa.com/en/fifa13winter/player/148673-stevan-jovetic","S. Jovetić")</f>
        <v>S. Jovetić</v>
      </c>
      <c s="30" r="I677">
        <v>84</v>
      </c>
      <c t="s" s="30" r="J677">
        <v>129</v>
      </c>
      <c t="s" s="30" r="K677">
        <v>132</v>
      </c>
      <c t="s" s="30" r="L677">
        <v>158</v>
      </c>
      <c s="30" r="M677">
        <v>22</v>
      </c>
      <c s="26" r="N677">
        <v>22.3</v>
      </c>
      <c s="23" r="O677">
        <v>0.077</v>
      </c>
      <c s="7" r="P677"/>
      <c s="7" r="Q677"/>
      <c s="7" r="R677">
        <f>IF((P677&gt;0),O677,0)</f>
        <v>0</v>
      </c>
      <c t="str" r="S677">
        <f>CONCATENATE(F677,E677)</f>
        <v>NON FTLNON FTL</v>
      </c>
    </row>
    <row r="678">
      <c t="s" s="7" r="A678">
        <v>201</v>
      </c>
      <c s="7" r="B678">
        <v>677</v>
      </c>
      <c s="30" r="C678">
        <v>92</v>
      </c>
      <c t="s" s="30" r="D678">
        <v>136</v>
      </c>
      <c t="s" s="30" r="E678">
        <v>4</v>
      </c>
      <c t="s" s="30" r="F678">
        <v>4</v>
      </c>
      <c t="s" s="30" r="G678">
        <v>213</v>
      </c>
      <c t="str" s="12" r="H678">
        <f>HYPERLINK("http://sofifa.com/en/fifa13winter/player/147778-romulo-souza-orestes-caldeira","Rômulo")</f>
        <v>Rômulo</v>
      </c>
      <c s="30" r="I678">
        <v>73</v>
      </c>
      <c t="s" s="30" r="J678">
        <v>124</v>
      </c>
      <c t="s" s="30" r="K678">
        <v>145</v>
      </c>
      <c t="s" s="30" r="L678">
        <v>146</v>
      </c>
      <c s="30" r="M678">
        <v>25</v>
      </c>
      <c s="26" r="N678">
        <v>3</v>
      </c>
      <c s="23" r="O678">
        <v>0.01</v>
      </c>
      <c s="7" r="P678"/>
      <c s="7" r="Q678"/>
      <c s="7" r="R678">
        <f>IF((P678&gt;0),O678,0)</f>
        <v>0</v>
      </c>
      <c t="str" r="S678">
        <f>CONCATENATE(F678,E678)</f>
        <v>NON FTLNON FTL</v>
      </c>
    </row>
    <row r="679">
      <c t="s" s="7" r="A679">
        <v>201</v>
      </c>
      <c s="7" r="B679">
        <v>678</v>
      </c>
      <c s="30" r="C679">
        <v>89</v>
      </c>
      <c t="s" s="30" r="D679">
        <v>136</v>
      </c>
      <c t="s" s="30" r="E679">
        <v>4</v>
      </c>
      <c t="s" s="30" r="F679">
        <v>4</v>
      </c>
      <c t="s" s="30" r="G679">
        <v>213</v>
      </c>
      <c t="str" s="12" r="H679">
        <f>HYPERLINK("http://sofifa.com/en/fifa13winter/player/148567-norberto-murara-neto","Neto")</f>
        <v>Neto</v>
      </c>
      <c s="30" r="I679">
        <v>73</v>
      </c>
      <c t="s" s="30" r="J679">
        <v>106</v>
      </c>
      <c t="s" s="30" r="K679">
        <v>144</v>
      </c>
      <c t="s" s="30" r="L679">
        <v>108</v>
      </c>
      <c s="30" r="M679">
        <v>23</v>
      </c>
      <c s="26" r="N679">
        <v>2.8</v>
      </c>
      <c s="23" r="O679">
        <v>0.009</v>
      </c>
      <c s="7" r="P679"/>
      <c s="7" r="Q679"/>
      <c s="7" r="R679">
        <f>IF((P679&gt;0),O679,0)</f>
        <v>0</v>
      </c>
      <c t="str" r="S679">
        <f>CONCATENATE(F679,E679)</f>
        <v>NON FTLNON FTL</v>
      </c>
    </row>
    <row r="680">
      <c t="s" s="7" r="A680">
        <v>201</v>
      </c>
      <c s="7" r="B680">
        <v>679</v>
      </c>
      <c s="30" r="C680">
        <v>31</v>
      </c>
      <c t="s" s="30" r="D680">
        <v>136</v>
      </c>
      <c t="s" s="30" r="E680">
        <v>4</v>
      </c>
      <c t="s" s="30" r="F680">
        <v>4</v>
      </c>
      <c t="s" s="30" r="G680">
        <v>213</v>
      </c>
      <c t="str" s="12" r="H680">
        <f>HYPERLINK("http://sofifa.com/en/fifa13winter/player/149602-michele-camporese","M. Camporese")</f>
        <v>M. Camporese</v>
      </c>
      <c s="30" r="I680">
        <v>66</v>
      </c>
      <c t="s" s="30" r="J680">
        <v>113</v>
      </c>
      <c t="s" s="30" r="K680">
        <v>173</v>
      </c>
      <c t="s" s="30" r="L680">
        <v>151</v>
      </c>
      <c s="30" r="M680">
        <v>20</v>
      </c>
      <c s="26" r="N680">
        <v>1.3</v>
      </c>
      <c s="23" r="O680">
        <v>0.004</v>
      </c>
      <c s="7" r="P680"/>
      <c s="7" r="Q680"/>
      <c s="7" r="R680">
        <f>IF((P680&gt;0),O680,0)</f>
        <v>0</v>
      </c>
      <c t="str" r="S680">
        <f>CONCATENATE(F680,E680)</f>
        <v>NON FTLNON FTL</v>
      </c>
    </row>
    <row r="681">
      <c t="s" s="7" r="A681">
        <v>201</v>
      </c>
      <c s="7" r="B681">
        <v>680</v>
      </c>
      <c s="30" r="C681">
        <v>27</v>
      </c>
      <c t="s" s="30" r="D681">
        <v>136</v>
      </c>
      <c t="s" s="30" r="E681">
        <v>4</v>
      </c>
      <c t="s" s="30" r="F681">
        <v>4</v>
      </c>
      <c t="s" s="30" r="G681">
        <v>213</v>
      </c>
      <c t="str" s="12" r="H681">
        <f>HYPERLINK("http://sofifa.com/en/fifa13winter/player/149777-rafal-wolski","R. Wolski")</f>
        <v>R. Wolski</v>
      </c>
      <c s="30" r="I681">
        <v>69</v>
      </c>
      <c t="s" s="30" r="J681">
        <v>162</v>
      </c>
      <c t="s" s="30" r="K681">
        <v>145</v>
      </c>
      <c t="s" s="30" r="L681">
        <v>125</v>
      </c>
      <c s="30" r="M681">
        <v>19</v>
      </c>
      <c s="26" r="N681">
        <v>2.3</v>
      </c>
      <c s="23" r="O681">
        <v>0.005</v>
      </c>
      <c s="7" r="P681"/>
      <c s="7" r="Q681"/>
      <c s="7" r="R681">
        <f>IF((P681&gt;0),O681,0)</f>
        <v>0</v>
      </c>
      <c t="str" r="S681">
        <f>CONCATENATE(F681,E681)</f>
        <v>NON FTLNON FTL</v>
      </c>
    </row>
    <row r="682">
      <c t="s" s="7" r="A682">
        <v>201</v>
      </c>
      <c s="7" r="B682">
        <v>681</v>
      </c>
      <c s="30" r="C682">
        <v>15</v>
      </c>
      <c t="s" s="30" r="D682">
        <v>136</v>
      </c>
      <c t="s" s="30" r="E682">
        <v>4</v>
      </c>
      <c t="s" s="30" r="F682">
        <v>4</v>
      </c>
      <c t="s" s="30" r="G682">
        <v>213</v>
      </c>
      <c t="str" s="12" r="H682">
        <f>HYPERLINK("http://sofifa.com/en/fifa13winter/player/149105-stefan-savic","S. Savić")</f>
        <v>S. Savić</v>
      </c>
      <c s="30" r="I682">
        <v>75</v>
      </c>
      <c t="s" s="30" r="J682">
        <v>113</v>
      </c>
      <c t="s" s="30" r="K682">
        <v>134</v>
      </c>
      <c t="s" s="30" r="L682">
        <v>161</v>
      </c>
      <c s="30" r="M682">
        <v>21</v>
      </c>
      <c s="26" r="N682">
        <v>4.5</v>
      </c>
      <c s="23" r="O682">
        <v>0.011</v>
      </c>
      <c s="7" r="P682"/>
      <c s="7" r="Q682"/>
      <c s="7" r="R682">
        <f>IF((P682&gt;0),O682,0)</f>
        <v>0</v>
      </c>
      <c t="str" r="S682">
        <f>CONCATENATE(F682,E682)</f>
        <v>NON FTLNON FTL</v>
      </c>
    </row>
    <row r="683">
      <c t="s" s="7" r="A683">
        <v>201</v>
      </c>
      <c s="7" r="B683">
        <v>682</v>
      </c>
      <c s="30" r="C683">
        <v>12</v>
      </c>
      <c t="s" s="30" r="D683">
        <v>136</v>
      </c>
      <c t="s" s="30" r="E683">
        <v>4</v>
      </c>
      <c t="s" s="30" r="F683">
        <v>4</v>
      </c>
      <c t="s" s="30" r="G683">
        <v>213</v>
      </c>
      <c t="str" s="12" r="H683">
        <f>HYPERLINK("http://sofifa.com/en/fifa13winter/player/144521-cristiano-lupatelli","C. Lupatelli")</f>
        <v>C. Lupatelli</v>
      </c>
      <c s="30" r="I683">
        <v>69</v>
      </c>
      <c t="s" s="30" r="J683">
        <v>106</v>
      </c>
      <c t="s" s="30" r="K683">
        <v>169</v>
      </c>
      <c t="s" s="30" r="L683">
        <v>108</v>
      </c>
      <c s="30" r="M683">
        <v>34</v>
      </c>
      <c s="26" r="N683">
        <v>0.9</v>
      </c>
      <c s="23" r="O683">
        <v>0.008</v>
      </c>
      <c s="7" r="P683"/>
      <c s="7" r="Q683"/>
      <c s="7" r="R683">
        <f>IF((P683&gt;0),O683,0)</f>
        <v>0</v>
      </c>
      <c t="str" r="S683">
        <f>CONCATENATE(F683,E683)</f>
        <v>NON FTLNON FTL</v>
      </c>
    </row>
    <row r="684">
      <c t="s" s="7" r="A684">
        <v>201</v>
      </c>
      <c s="7" r="B684">
        <v>683</v>
      </c>
      <c s="30" r="C684">
        <v>14</v>
      </c>
      <c t="s" s="30" r="D684">
        <v>136</v>
      </c>
      <c t="s" s="30" r="E684">
        <v>4</v>
      </c>
      <c t="s" s="30" r="F684">
        <v>4</v>
      </c>
      <c t="s" s="30" r="G684">
        <v>213</v>
      </c>
      <c t="str" s="12" r="H684">
        <f>HYPERLINK("http://sofifa.com/en/fifa13winter/player/147406-matias-fernandez","M. Fernández")</f>
        <v>M. Fernández</v>
      </c>
      <c s="30" r="I684">
        <v>76</v>
      </c>
      <c t="s" s="30" r="J684">
        <v>162</v>
      </c>
      <c t="s" s="30" r="K684">
        <v>118</v>
      </c>
      <c t="s" s="30" r="L684">
        <v>146</v>
      </c>
      <c s="30" r="M684">
        <v>26</v>
      </c>
      <c s="26" r="N684">
        <v>5.6</v>
      </c>
      <c s="23" r="O684">
        <v>0.015</v>
      </c>
      <c s="7" r="P684"/>
      <c s="7" r="Q684"/>
      <c s="7" r="R684">
        <f>IF((P684&gt;0),O684,0)</f>
        <v>0</v>
      </c>
      <c t="str" r="S684">
        <f>CONCATENATE(F684,E684)</f>
        <v>NON FTLNON FTL</v>
      </c>
    </row>
    <row r="685">
      <c t="s" s="7" r="A685">
        <v>201</v>
      </c>
      <c s="7" r="B685">
        <v>684</v>
      </c>
      <c s="30" r="C685">
        <v>5</v>
      </c>
      <c t="s" s="30" r="D685">
        <v>136</v>
      </c>
      <c t="s" s="30" r="E685">
        <v>4</v>
      </c>
      <c t="s" s="30" r="F685">
        <v>4</v>
      </c>
      <c t="s" s="30" r="G685">
        <v>213</v>
      </c>
      <c t="str" s="12" r="H685">
        <f>HYPERLINK("http://sofifa.com/en/fifa13winter/player/147071-marvin-compper","M. Compper")</f>
        <v>M. Compper</v>
      </c>
      <c s="30" r="I685">
        <v>73</v>
      </c>
      <c t="s" s="30" r="J685">
        <v>113</v>
      </c>
      <c t="s" s="30" r="K685">
        <v>132</v>
      </c>
      <c t="s" s="30" r="L685">
        <v>153</v>
      </c>
      <c s="30" r="M685">
        <v>27</v>
      </c>
      <c s="26" r="N685">
        <v>2.9</v>
      </c>
      <c s="23" r="O685">
        <v>0.01</v>
      </c>
      <c s="7" r="P685"/>
      <c s="7" r="Q685"/>
      <c s="7" r="R685">
        <f>IF((P685&gt;0),O685,0)</f>
        <v>0</v>
      </c>
      <c t="str" r="S685">
        <f>CONCATENATE(F685,E685)</f>
        <v>NON FTLNON FTL</v>
      </c>
    </row>
    <row r="686">
      <c t="s" s="7" r="A686">
        <v>201</v>
      </c>
      <c s="7" r="B686">
        <v>685</v>
      </c>
      <c s="30" r="C686">
        <v>19</v>
      </c>
      <c t="s" s="30" r="D686">
        <v>136</v>
      </c>
      <c t="s" s="30" r="E686">
        <v>4</v>
      </c>
      <c t="s" s="30" r="F686">
        <v>4</v>
      </c>
      <c t="s" s="30" r="G686">
        <v>213</v>
      </c>
      <c t="str" s="12" r="H686">
        <f>HYPERLINK("http://sofifa.com/en/fifa13winter/player/147448-cristian-llama","C. Llama")</f>
        <v>C. Llama</v>
      </c>
      <c s="30" r="I686">
        <v>73</v>
      </c>
      <c t="s" s="30" r="J686">
        <v>128</v>
      </c>
      <c t="s" s="30" r="K686">
        <v>182</v>
      </c>
      <c t="s" s="30" r="L686">
        <v>137</v>
      </c>
      <c s="30" r="M686">
        <v>26</v>
      </c>
      <c s="26" r="N686">
        <v>3.1</v>
      </c>
      <c s="23" r="O686">
        <v>0.01</v>
      </c>
      <c s="7" r="P686"/>
      <c s="7" r="Q686"/>
      <c s="7" r="R686">
        <f>IF((P686&gt;0),O686,0)</f>
        <v>0</v>
      </c>
      <c t="str" r="S686">
        <f>CONCATENATE(F686,E686)</f>
        <v>NON FTLNON FTL</v>
      </c>
    </row>
    <row r="687">
      <c t="s" s="7" r="A687">
        <v>201</v>
      </c>
      <c s="7" r="B687">
        <v>686</v>
      </c>
      <c s="30" r="C687">
        <v>30</v>
      </c>
      <c t="s" s="30" r="D687">
        <v>136</v>
      </c>
      <c t="s" s="30" r="E687">
        <v>4</v>
      </c>
      <c t="s" s="30" r="F687">
        <v>4</v>
      </c>
      <c t="s" s="30" r="G687">
        <v>213</v>
      </c>
      <c t="str" s="12" r="H687">
        <f>HYPERLINK("http://sofifa.com/en/fifa13winter/player/144130-luca-toni","L. Toni")</f>
        <v>L. Toni</v>
      </c>
      <c s="30" r="I687">
        <v>74</v>
      </c>
      <c t="s" s="30" r="J687">
        <v>129</v>
      </c>
      <c t="s" s="30" r="K687">
        <v>165</v>
      </c>
      <c t="s" s="30" r="L687">
        <v>175</v>
      </c>
      <c s="30" r="M687">
        <v>35</v>
      </c>
      <c s="26" r="N687">
        <v>2.8</v>
      </c>
      <c s="23" r="O687">
        <v>0.014</v>
      </c>
      <c s="7" r="P687"/>
      <c s="7" r="Q687"/>
      <c s="7" r="R687">
        <f>IF((P687&gt;0),O687,0)</f>
        <v>0</v>
      </c>
      <c t="str" r="S687">
        <f>CONCATENATE(F687,E687)</f>
        <v>NON FTLNON FTL</v>
      </c>
    </row>
    <row r="688">
      <c t="s" s="7" r="A688">
        <v>201</v>
      </c>
      <c s="7" r="B688">
        <v>687</v>
      </c>
      <c s="30" r="C688">
        <v>9</v>
      </c>
      <c t="s" s="30" r="D688">
        <v>136</v>
      </c>
      <c t="s" s="30" r="E688">
        <v>4</v>
      </c>
      <c t="s" s="30" r="F688">
        <v>4</v>
      </c>
      <c t="s" s="30" r="G688">
        <v>213</v>
      </c>
      <c t="str" s="12" r="H688">
        <f>HYPERLINK("http://sofifa.com/en/fifa13winter/player/146736-mounir-el-hamdaoui","M. El Hamdaoui")</f>
        <v>M. El Hamdaoui</v>
      </c>
      <c s="30" r="I688">
        <v>75</v>
      </c>
      <c t="s" s="30" r="J688">
        <v>129</v>
      </c>
      <c t="s" s="30" r="K688">
        <v>110</v>
      </c>
      <c t="s" s="30" r="L688">
        <v>156</v>
      </c>
      <c s="30" r="M688">
        <v>28</v>
      </c>
      <c s="26" r="N688">
        <v>4.7</v>
      </c>
      <c s="23" r="O688">
        <v>0.013</v>
      </c>
      <c s="7" r="P688"/>
      <c s="7" r="Q688"/>
      <c s="7" r="R688">
        <f>IF((P688&gt;0),O688,0)</f>
        <v>0</v>
      </c>
      <c t="str" r="S688">
        <f>CONCATENATE(F688,E688)</f>
        <v>NON FTLNON FTL</v>
      </c>
    </row>
    <row r="689">
      <c t="s" s="7" r="A689">
        <v>201</v>
      </c>
      <c s="7" r="B689">
        <v>688</v>
      </c>
      <c s="30" r="C689">
        <v>21</v>
      </c>
      <c t="s" s="30" r="D689">
        <v>136</v>
      </c>
      <c t="s" s="30" r="E689">
        <v>4</v>
      </c>
      <c t="s" s="30" r="F689">
        <v>4</v>
      </c>
      <c t="s" s="30" r="G689">
        <v>213</v>
      </c>
      <c t="str" s="12" r="H689">
        <f>HYPERLINK("http://sofifa.com/en/fifa13winter/player/145619-giulio-migliaccio","G. Migliaccio")</f>
        <v>G. Migliaccio</v>
      </c>
      <c s="30" r="I689">
        <v>75</v>
      </c>
      <c t="s" s="30" r="J689">
        <v>154</v>
      </c>
      <c t="s" s="30" r="K689">
        <v>143</v>
      </c>
      <c t="s" s="30" r="L689">
        <v>146</v>
      </c>
      <c s="30" r="M689">
        <v>31</v>
      </c>
      <c s="26" r="N689">
        <v>3.1</v>
      </c>
      <c s="23" r="O689">
        <v>0.015</v>
      </c>
      <c s="7" r="P689"/>
      <c s="7" r="Q689"/>
      <c s="7" r="R689">
        <f>IF((P689&gt;0),O689,0)</f>
        <v>0</v>
      </c>
      <c t="str" r="S689">
        <f>CONCATENATE(F689,E689)</f>
        <v>NON FTLNON FTL</v>
      </c>
    </row>
    <row r="690">
      <c t="s" s="7" r="A690">
        <v>201</v>
      </c>
      <c s="7" r="B690">
        <v>689</v>
      </c>
      <c s="30" r="C690">
        <v>18</v>
      </c>
      <c t="s" s="30" r="D690">
        <v>147</v>
      </c>
      <c t="s" s="30" r="E690">
        <v>4</v>
      </c>
      <c t="s" s="30" r="F690">
        <v>4</v>
      </c>
      <c t="s" s="30" r="G690">
        <v>213</v>
      </c>
      <c t="str" s="12" r="H690">
        <f>HYPERLINK("http://sofifa.com/en/fifa13winter/player/148033-marcelo-larrondo","M. Larrondo")</f>
        <v>M. Larrondo</v>
      </c>
      <c s="30" r="I690">
        <v>69</v>
      </c>
      <c t="s" s="30" r="J690">
        <v>129</v>
      </c>
      <c t="s" s="30" r="K690">
        <v>144</v>
      </c>
      <c t="s" s="30" r="L690">
        <v>158</v>
      </c>
      <c s="30" r="M690">
        <v>24</v>
      </c>
      <c s="26" r="N690">
        <v>2.1</v>
      </c>
      <c s="23" r="O690">
        <v>0.007</v>
      </c>
      <c s="7" r="P690"/>
      <c s="7" r="Q690"/>
      <c s="7" r="R690">
        <f>IF((P690&gt;0),O690,0)</f>
        <v>0</v>
      </c>
      <c t="str" r="S690">
        <f>CONCATENATE(F690,E690)</f>
        <v>NON FTLNON FTL</v>
      </c>
    </row>
    <row r="691">
      <c t="s" s="7" r="A691">
        <v>201</v>
      </c>
      <c s="7" r="B691">
        <v>690</v>
      </c>
      <c s="30" r="C691">
        <v>28</v>
      </c>
      <c t="s" s="30" r="D691">
        <v>147</v>
      </c>
      <c t="s" s="30" r="E691">
        <v>4</v>
      </c>
      <c t="s" s="30" r="F691">
        <v>4</v>
      </c>
      <c t="s" s="30" r="G691">
        <v>213</v>
      </c>
      <c t="str" s="12" r="H691">
        <f>HYPERLINK("http://sofifa.com/en/fifa13winter/player/150645-leonardo-capezzi","L. Capezzi")</f>
        <v>L. Capezzi</v>
      </c>
      <c s="30" r="I691">
        <v>60</v>
      </c>
      <c t="s" s="30" r="J691">
        <v>124</v>
      </c>
      <c t="s" s="30" r="K691">
        <v>118</v>
      </c>
      <c t="s" s="30" r="L691">
        <v>115</v>
      </c>
      <c s="30" r="M691">
        <v>17</v>
      </c>
      <c s="26" r="N691">
        <v>0.6</v>
      </c>
      <c s="23" r="O691">
        <v>0.002</v>
      </c>
      <c s="7" r="P691"/>
      <c s="7" r="Q691"/>
      <c s="7" r="R691">
        <f>IF((P691&gt;0),O691,0)</f>
        <v>0</v>
      </c>
      <c t="str" r="S691">
        <f>CONCATENATE(F691,E691)</f>
        <v>NON FTLNON FTL</v>
      </c>
    </row>
    <row r="692">
      <c t="s" s="7" r="A692">
        <v>201</v>
      </c>
      <c s="7" r="B692">
        <v>691</v>
      </c>
      <c s="30" r="C692">
        <v>6</v>
      </c>
      <c t="s" s="30" r="D692">
        <v>147</v>
      </c>
      <c t="s" s="30" r="E692">
        <v>4</v>
      </c>
      <c t="s" s="30" r="F692">
        <v>4</v>
      </c>
      <c t="s" s="30" r="G692">
        <v>213</v>
      </c>
      <c t="str" s="12" r="H692">
        <f>HYPERLINK("http://sofifa.com/en/fifa13winter/player/146928-mohamed-sissoko","M. Sissoko")</f>
        <v>M. Sissoko</v>
      </c>
      <c s="30" r="I692">
        <v>77</v>
      </c>
      <c t="s" s="30" r="J692">
        <v>154</v>
      </c>
      <c t="s" s="30" r="K692">
        <v>144</v>
      </c>
      <c t="s" s="30" r="L692">
        <v>179</v>
      </c>
      <c s="30" r="M692">
        <v>27</v>
      </c>
      <c s="26" r="N692">
        <v>6</v>
      </c>
      <c s="23" r="O692">
        <v>0.017</v>
      </c>
      <c s="7" r="P692"/>
      <c s="7" r="Q692"/>
      <c s="7" r="R692">
        <f>IF((P692&gt;0),O692,0)</f>
        <v>0</v>
      </c>
      <c t="str" r="S692">
        <f>CONCATENATE(F692,E692)</f>
        <v>NON FTLNON FTL</v>
      </c>
    </row>
    <row r="693">
      <c t="s" s="7" r="A693">
        <v>201</v>
      </c>
      <c s="7" r="B693">
        <v>692</v>
      </c>
      <c s="30" r="C693">
        <v>49</v>
      </c>
      <c t="s" s="30" r="D693">
        <v>147</v>
      </c>
      <c t="s" s="30" r="E693">
        <v>4</v>
      </c>
      <c t="s" s="30" r="F693">
        <v>4</v>
      </c>
      <c t="s" s="30" r="G693">
        <v>213</v>
      </c>
      <c t="str" s="12" r="H693">
        <f>HYPERLINK("http://sofifa.com/en/fifa13winter/player/147668-giuseppe-rossi","G. Rossi")</f>
        <v>G. Rossi</v>
      </c>
      <c s="30" r="I693">
        <v>82</v>
      </c>
      <c t="s" s="30" r="J693">
        <v>171</v>
      </c>
      <c t="s" s="30" r="K693">
        <v>130</v>
      </c>
      <c t="s" s="30" r="L693">
        <v>115</v>
      </c>
      <c s="30" r="M693">
        <v>25</v>
      </c>
      <c s="26" r="N693">
        <v>16.3</v>
      </c>
      <c s="23" r="O693">
        <v>0.053</v>
      </c>
      <c s="7" r="P693"/>
      <c s="7" r="Q693"/>
      <c s="7" r="R693">
        <f>IF((P693&gt;0),O693,0)</f>
        <v>0</v>
      </c>
      <c t="str" r="S693">
        <f>CONCATENATE(F693,E693)</f>
        <v>NON FTLNON FTL</v>
      </c>
    </row>
    <row r="694">
      <c t="s" s="7" r="A694">
        <v>201</v>
      </c>
      <c s="7" r="B694">
        <v>693</v>
      </c>
      <c s="30" r="C694">
        <v>3</v>
      </c>
      <c t="s" s="30" r="D694">
        <v>147</v>
      </c>
      <c t="s" s="30" r="E694">
        <v>4</v>
      </c>
      <c t="s" s="30" r="F694">
        <v>4</v>
      </c>
      <c t="s" s="30" r="G694">
        <v>213</v>
      </c>
      <c t="str" s="12" r="H694">
        <f>HYPERLINK("http://sofifa.com/en/fifa13winter/player/149122-ahmed-hegazy","A. Hegazy")</f>
        <v>A. Hegazy</v>
      </c>
      <c s="30" r="I694">
        <v>64</v>
      </c>
      <c t="s" s="30" r="J694">
        <v>113</v>
      </c>
      <c t="s" s="30" r="K694">
        <v>176</v>
      </c>
      <c t="s" s="30" r="L694">
        <v>108</v>
      </c>
      <c s="30" r="M694">
        <v>21</v>
      </c>
      <c s="26" r="N694">
        <v>0.9</v>
      </c>
      <c s="23" r="O694">
        <v>0.004</v>
      </c>
      <c s="7" r="P694"/>
      <c s="7" r="Q694"/>
      <c s="7" r="R694">
        <f>IF((P694&gt;0),O694,0)</f>
        <v>0</v>
      </c>
      <c t="str" r="S694">
        <f>CONCATENATE(F694,E694)</f>
        <v>NON FTLNON FTL</v>
      </c>
    </row>
    <row r="695">
      <c t="s" s="7" r="A695">
        <v>201</v>
      </c>
      <c s="7" r="B695">
        <v>722</v>
      </c>
      <c s="30" r="C695">
        <v>25</v>
      </c>
      <c t="s" s="30" r="D695">
        <v>106</v>
      </c>
      <c t="s" s="30" r="E695">
        <v>4</v>
      </c>
      <c t="s" s="30" r="F695">
        <v>4</v>
      </c>
      <c t="s" s="30" r="G695">
        <v>214</v>
      </c>
      <c t="str" s="12" r="H695">
        <f>HYPERLINK("http://sofifa.com/en/fifa13winter/player/147438-fernando-muslera","F. Muslera")</f>
        <v>F. Muslera</v>
      </c>
      <c s="30" r="I695">
        <v>81</v>
      </c>
      <c t="s" s="30" r="J695">
        <v>106</v>
      </c>
      <c t="s" s="30" r="K695">
        <v>152</v>
      </c>
      <c t="s" s="30" r="L695">
        <v>160</v>
      </c>
      <c s="30" r="M695">
        <v>26</v>
      </c>
      <c s="26" r="N695">
        <v>9.5</v>
      </c>
      <c s="23" r="O695">
        <v>0.04</v>
      </c>
      <c s="7" r="P695"/>
      <c s="7" r="Q695"/>
      <c s="7" r="R695">
        <f>IF((P695&gt;0),O695,0)</f>
        <v>0</v>
      </c>
      <c t="str" r="S695">
        <f>CONCATENATE(F695,E695)</f>
        <v>NON FTLNON FTL</v>
      </c>
    </row>
    <row r="696">
      <c t="s" s="7" r="A696">
        <v>201</v>
      </c>
      <c s="7" r="B696">
        <v>723</v>
      </c>
      <c s="30" r="C696">
        <v>27</v>
      </c>
      <c t="s" s="30" r="D696">
        <v>109</v>
      </c>
      <c t="s" s="30" r="E696">
        <v>4</v>
      </c>
      <c t="s" s="30" r="F696">
        <v>4</v>
      </c>
      <c t="s" s="30" r="G696">
        <v>214</v>
      </c>
      <c t="str" s="12" r="H696">
        <f>HYPERLINK("http://sofifa.com/en/fifa13winter/player/146330-emmanuel-eboue","E. Eboué")</f>
        <v>E. Eboué</v>
      </c>
      <c s="30" r="I696">
        <v>76</v>
      </c>
      <c t="s" s="30" r="J696">
        <v>109</v>
      </c>
      <c t="s" s="30" r="K696">
        <v>118</v>
      </c>
      <c t="s" s="30" r="L696">
        <v>119</v>
      </c>
      <c s="30" r="M696">
        <v>29</v>
      </c>
      <c s="26" r="N696">
        <v>4.1</v>
      </c>
      <c s="23" r="O696">
        <v>0.016</v>
      </c>
      <c s="7" r="P696"/>
      <c s="7" r="Q696"/>
      <c s="7" r="R696">
        <f>IF((P696&gt;0),O696,0)</f>
        <v>0</v>
      </c>
      <c t="str" r="S696">
        <f>CONCATENATE(F696,E696)</f>
        <v>NON FTLNON FTL</v>
      </c>
    </row>
    <row r="697">
      <c t="s" s="7" r="A697">
        <v>201</v>
      </c>
      <c s="7" r="B697">
        <v>724</v>
      </c>
      <c s="30" r="C697">
        <v>26</v>
      </c>
      <c t="s" s="30" r="D697">
        <v>112</v>
      </c>
      <c t="s" s="30" r="E697">
        <v>4</v>
      </c>
      <c t="s" s="30" r="F697">
        <v>4</v>
      </c>
      <c t="s" s="30" r="G697">
        <v>214</v>
      </c>
      <c t="str" s="12" r="H697">
        <f>HYPERLINK("http://sofifa.com/en/fifa13winter/player/149152-semih-kaya","S. Kaya")</f>
        <v>S. Kaya</v>
      </c>
      <c s="30" r="I697">
        <v>79</v>
      </c>
      <c t="s" s="30" r="J697">
        <v>113</v>
      </c>
      <c t="s" s="30" r="K697">
        <v>143</v>
      </c>
      <c t="s" s="30" r="L697">
        <v>125</v>
      </c>
      <c s="30" r="M697">
        <v>21</v>
      </c>
      <c s="26" r="N697">
        <v>7.8</v>
      </c>
      <c s="23" r="O697">
        <v>0.019</v>
      </c>
      <c s="7" r="P697"/>
      <c s="7" r="Q697"/>
      <c s="7" r="R697">
        <f>IF((P697&gt;0),O697,0)</f>
        <v>0</v>
      </c>
      <c t="str" r="S697">
        <f>CONCATENATE(F697,E697)</f>
        <v>NON FTLNON FTL</v>
      </c>
    </row>
    <row r="698">
      <c t="s" s="7" r="A698">
        <v>201</v>
      </c>
      <c s="7" r="B698">
        <v>725</v>
      </c>
      <c s="30" r="C698">
        <v>13</v>
      </c>
      <c t="s" s="30" r="D698">
        <v>116</v>
      </c>
      <c t="s" s="30" r="E698">
        <v>4</v>
      </c>
      <c t="s" s="30" r="F698">
        <v>4</v>
      </c>
      <c t="s" s="30" r="G698">
        <v>214</v>
      </c>
      <c t="str" s="12" r="H698">
        <f>HYPERLINK("http://sofifa.com/en/fifa13winter/player/147372-dany-nounkeu","D. Nounkeu")</f>
        <v>D. Nounkeu</v>
      </c>
      <c s="30" r="I698">
        <v>77</v>
      </c>
      <c t="s" s="30" r="J698">
        <v>113</v>
      </c>
      <c t="s" s="30" r="K698">
        <v>167</v>
      </c>
      <c t="s" s="30" r="L698">
        <v>179</v>
      </c>
      <c s="30" r="M698">
        <v>26</v>
      </c>
      <c s="26" r="N698">
        <v>5.5</v>
      </c>
      <c s="23" r="O698">
        <v>0.017</v>
      </c>
      <c s="7" r="P698"/>
      <c s="7" r="Q698"/>
      <c s="7" r="R698">
        <f>IF((P698&gt;0),O698,0)</f>
        <v>0</v>
      </c>
      <c t="str" r="S698">
        <f>CONCATENATE(F698,E698)</f>
        <v>NON FTLNON FTL</v>
      </c>
    </row>
    <row r="699">
      <c t="s" s="7" r="A699">
        <v>201</v>
      </c>
      <c s="7" r="B699">
        <v>726</v>
      </c>
      <c s="30" r="C699">
        <v>11</v>
      </c>
      <c t="s" s="30" r="D699">
        <v>117</v>
      </c>
      <c t="s" s="30" r="E699">
        <v>4</v>
      </c>
      <c t="s" s="30" r="F699">
        <v>4</v>
      </c>
      <c t="s" s="30" r="G699">
        <v>214</v>
      </c>
      <c t="str" s="12" r="H699">
        <f>HYPERLINK("http://sofifa.com/en/fifa13winter/player/145915-albert-riera-ortega","Riera")</f>
        <v>Riera</v>
      </c>
      <c s="30" r="I699">
        <v>70</v>
      </c>
      <c t="s" s="30" r="J699">
        <v>117</v>
      </c>
      <c t="s" s="30" r="K699">
        <v>134</v>
      </c>
      <c t="s" s="30" r="L699">
        <v>108</v>
      </c>
      <c s="30" r="M699">
        <v>30</v>
      </c>
      <c s="26" r="N699">
        <v>1.5</v>
      </c>
      <c s="23" r="O699">
        <v>0.008</v>
      </c>
      <c s="7" r="P699"/>
      <c s="7" r="Q699"/>
      <c s="7" r="R699">
        <f>IF((P699&gt;0),O699,0)</f>
        <v>0</v>
      </c>
      <c t="str" r="S699">
        <f>CONCATENATE(F699,E699)</f>
        <v>NON FTLNON FTL</v>
      </c>
    </row>
    <row r="700">
      <c t="s" s="7" r="A700">
        <v>201</v>
      </c>
      <c s="7" r="B700">
        <v>727</v>
      </c>
      <c s="30" r="C700">
        <v>4</v>
      </c>
      <c t="s" s="30" r="D700">
        <v>123</v>
      </c>
      <c t="s" s="30" r="E700">
        <v>4</v>
      </c>
      <c t="s" s="30" r="F700">
        <v>4</v>
      </c>
      <c t="s" s="30" r="G700">
        <v>214</v>
      </c>
      <c t="str" s="12" r="H700">
        <f>HYPERLINK("http://sofifa.com/en/fifa13winter/player/146152-hamit-altintop","H. Altıntop")</f>
        <v>H. Altıntop</v>
      </c>
      <c s="30" r="I700">
        <v>74</v>
      </c>
      <c t="s" s="30" r="J700">
        <v>120</v>
      </c>
      <c t="s" s="30" r="K700">
        <v>110</v>
      </c>
      <c t="s" s="30" r="L700">
        <v>193</v>
      </c>
      <c s="30" r="M700">
        <v>29</v>
      </c>
      <c s="26" r="N700">
        <v>3.2</v>
      </c>
      <c s="23" r="O700">
        <v>0.012</v>
      </c>
      <c s="7" r="P700"/>
      <c s="7" r="Q700"/>
      <c s="7" r="R700">
        <f>IF((P700&gt;0),O700,0)</f>
        <v>0</v>
      </c>
      <c t="str" r="S700">
        <f>CONCATENATE(F700,E700)</f>
        <v>NON FTLNON FTL</v>
      </c>
    </row>
    <row r="701">
      <c t="s" s="7" r="A701">
        <v>201</v>
      </c>
      <c s="7" r="B701">
        <v>728</v>
      </c>
      <c s="30" r="C701">
        <v>10</v>
      </c>
      <c t="s" s="30" r="D701">
        <v>124</v>
      </c>
      <c t="s" s="30" r="E701">
        <v>4</v>
      </c>
      <c t="s" s="30" r="F701">
        <v>4</v>
      </c>
      <c t="s" s="30" r="G701">
        <v>214</v>
      </c>
      <c t="str" s="12" r="H701">
        <f>HYPERLINK("http://sofifa.com/en/fifa13winter/player/146352-felipe-melo-de-carvalho","Felipe Melo")</f>
        <v>Felipe Melo</v>
      </c>
      <c s="30" r="I701">
        <v>79</v>
      </c>
      <c t="s" s="30" r="J701">
        <v>154</v>
      </c>
      <c t="s" s="30" r="K701">
        <v>110</v>
      </c>
      <c t="s" s="30" r="L701">
        <v>153</v>
      </c>
      <c s="30" r="M701">
        <v>29</v>
      </c>
      <c s="26" r="N701">
        <v>6.1</v>
      </c>
      <c s="23" r="O701">
        <v>0.024</v>
      </c>
      <c s="7" r="P701"/>
      <c s="7" r="Q701"/>
      <c s="7" r="R701">
        <f>IF((P701&gt;0),O701,0)</f>
        <v>0</v>
      </c>
      <c t="str" r="S701">
        <f>CONCATENATE(F701,E701)</f>
        <v>NON FTLNON FTL</v>
      </c>
    </row>
    <row r="702">
      <c t="s" s="7" r="A702">
        <v>201</v>
      </c>
      <c s="7" r="B702">
        <v>729</v>
      </c>
      <c s="30" r="C702">
        <v>8</v>
      </c>
      <c t="s" s="30" r="D702">
        <v>126</v>
      </c>
      <c t="s" s="30" r="E702">
        <v>4</v>
      </c>
      <c t="s" s="30" r="F702">
        <v>4</v>
      </c>
      <c t="s" s="30" r="G702">
        <v>214</v>
      </c>
      <c t="str" s="12" r="H702">
        <f>HYPERLINK("http://sofifa.com/en/fifa13winter/player/146947-selcuk-inan","S. İnan")</f>
        <v>S. İnan</v>
      </c>
      <c s="30" r="I702">
        <v>81</v>
      </c>
      <c t="s" s="30" r="J702">
        <v>124</v>
      </c>
      <c t="s" s="30" r="K702">
        <v>143</v>
      </c>
      <c t="s" s="30" r="L702">
        <v>160</v>
      </c>
      <c s="30" r="M702">
        <v>27</v>
      </c>
      <c s="26" r="N702">
        <v>12.7</v>
      </c>
      <c s="23" r="O702">
        <v>0.04</v>
      </c>
      <c s="7" r="P702"/>
      <c s="7" r="Q702"/>
      <c s="7" r="R702">
        <f>IF((P702&gt;0),O702,0)</f>
        <v>0</v>
      </c>
      <c t="str" r="S702">
        <f>CONCATENATE(F702,E702)</f>
        <v>NON FTLNON FTL</v>
      </c>
    </row>
    <row r="703">
      <c t="s" s="7" r="A703">
        <v>201</v>
      </c>
      <c s="7" r="B703">
        <v>730</v>
      </c>
      <c s="30" r="C703">
        <v>14</v>
      </c>
      <c t="s" s="30" r="D703">
        <v>162</v>
      </c>
      <c t="s" s="30" r="E703">
        <v>4</v>
      </c>
      <c t="s" s="30" r="F703">
        <v>4</v>
      </c>
      <c t="s" s="30" r="G703">
        <v>214</v>
      </c>
      <c t="str" s="12" r="H703">
        <f>HYPERLINK("http://sofifa.com/en/fifa13winter/player/146701-wesley-sneijder","W. Sneijder")</f>
        <v>W. Sneijder</v>
      </c>
      <c s="30" r="I703">
        <v>86</v>
      </c>
      <c t="s" s="30" r="J703">
        <v>162</v>
      </c>
      <c t="s" s="30" r="K703">
        <v>121</v>
      </c>
      <c t="s" s="30" r="L703">
        <v>163</v>
      </c>
      <c s="30" r="M703">
        <v>28</v>
      </c>
      <c s="26" r="N703">
        <v>29.9</v>
      </c>
      <c s="23" r="O703">
        <v>0.14</v>
      </c>
      <c s="7" r="P703"/>
      <c s="7" r="Q703"/>
      <c s="7" r="R703">
        <f>IF((P703&gt;0),O703,0)</f>
        <v>0</v>
      </c>
      <c t="str" r="S703">
        <f>CONCATENATE(F703,E703)</f>
        <v>NON FTLNON FTL</v>
      </c>
    </row>
    <row r="704">
      <c t="s" s="7" r="A704">
        <v>201</v>
      </c>
      <c s="7" r="B704">
        <v>731</v>
      </c>
      <c s="30" r="C704">
        <v>17</v>
      </c>
      <c t="s" s="30" r="D704">
        <v>131</v>
      </c>
      <c t="s" s="30" r="E704">
        <v>4</v>
      </c>
      <c t="s" s="30" r="F704">
        <v>4</v>
      </c>
      <c t="s" s="30" r="G704">
        <v>214</v>
      </c>
      <c t="str" s="12" r="H704">
        <f>HYPERLINK("http://sofifa.com/en/fifa13winter/player/147102-burak-yilmaz","B. Yılmaz")</f>
        <v>B. Yılmaz</v>
      </c>
      <c s="30" r="I704">
        <v>81</v>
      </c>
      <c t="s" s="30" r="J704">
        <v>129</v>
      </c>
      <c t="s" s="30" r="K704">
        <v>134</v>
      </c>
      <c t="s" s="30" r="L704">
        <v>153</v>
      </c>
      <c s="30" r="M704">
        <v>27</v>
      </c>
      <c s="26" r="N704">
        <v>14.4</v>
      </c>
      <c s="23" r="O704">
        <v>0.04</v>
      </c>
      <c s="7" r="P704"/>
      <c s="7" r="Q704"/>
      <c s="7" r="R704">
        <f>IF((P704&gt;0),O704,0)</f>
        <v>0</v>
      </c>
      <c t="str" r="S704">
        <f>CONCATENATE(F704,E704)</f>
        <v>NON FTLNON FTL</v>
      </c>
    </row>
    <row r="705">
      <c t="s" s="7" r="A705">
        <v>201</v>
      </c>
      <c s="7" r="B705">
        <v>732</v>
      </c>
      <c s="30" r="C705">
        <v>12</v>
      </c>
      <c t="s" s="30" r="D705">
        <v>133</v>
      </c>
      <c t="s" s="30" r="E705">
        <v>4</v>
      </c>
      <c t="s" s="30" r="F705">
        <v>4</v>
      </c>
      <c t="s" s="30" r="G705">
        <v>214</v>
      </c>
      <c t="str" s="12" r="H705">
        <f>HYPERLINK("http://sofifa.com/en/fifa13winter/player/144419-didier-drogba","D. Drogba")</f>
        <v>D. Drogba</v>
      </c>
      <c s="30" r="I705">
        <v>83</v>
      </c>
      <c t="s" s="30" r="J705">
        <v>129</v>
      </c>
      <c t="s" s="30" r="K705">
        <v>169</v>
      </c>
      <c t="s" s="30" r="L705">
        <v>185</v>
      </c>
      <c s="30" r="M705">
        <v>34</v>
      </c>
      <c s="26" r="N705">
        <v>14.9</v>
      </c>
      <c s="23" r="O705">
        <v>0.087</v>
      </c>
      <c s="7" r="P705"/>
      <c s="7" r="Q705"/>
      <c s="7" r="R705">
        <f>IF((P705&gt;0),O705,0)</f>
        <v>0</v>
      </c>
      <c t="str" r="S705">
        <f>CONCATENATE(F705,E705)</f>
        <v>NON FTLNON FTL</v>
      </c>
    </row>
    <row r="706">
      <c t="s" s="7" r="A706">
        <v>201</v>
      </c>
      <c s="7" r="B706">
        <v>733</v>
      </c>
      <c s="30" r="C706">
        <v>50</v>
      </c>
      <c t="s" s="30" r="D706">
        <v>136</v>
      </c>
      <c t="s" s="30" r="E706">
        <v>4</v>
      </c>
      <c t="s" s="30" r="F706">
        <v>4</v>
      </c>
      <c t="s" s="30" r="G706">
        <v>214</v>
      </c>
      <c t="str" s="12" r="H706">
        <f>HYPERLINK("http://sofifa.com/en/fifa13winter/player/145900-engin-baytar","E. Baytar")</f>
        <v>E. Baytar</v>
      </c>
      <c s="30" r="I706">
        <v>72</v>
      </c>
      <c t="s" s="30" r="J706">
        <v>162</v>
      </c>
      <c t="s" s="30" r="K706">
        <v>172</v>
      </c>
      <c t="s" s="30" r="L706">
        <v>111</v>
      </c>
      <c s="30" r="M706">
        <v>30</v>
      </c>
      <c s="26" r="N706">
        <v>2.5</v>
      </c>
      <c s="23" r="O706">
        <v>0.01</v>
      </c>
      <c s="7" r="P706"/>
      <c s="7" r="Q706"/>
      <c s="7" r="R706">
        <f>IF((P706&gt;0),O706,0)</f>
        <v>0</v>
      </c>
      <c t="str" r="S706">
        <f>CONCATENATE(F706,E706)</f>
        <v>NON FTLNON FTL</v>
      </c>
    </row>
    <row r="707">
      <c t="s" s="7" r="A707">
        <v>201</v>
      </c>
      <c s="7" r="B707">
        <v>734</v>
      </c>
      <c s="30" r="C707">
        <v>22</v>
      </c>
      <c t="s" s="30" r="D707">
        <v>136</v>
      </c>
      <c t="s" s="30" r="E707">
        <v>4</v>
      </c>
      <c t="s" s="30" r="F707">
        <v>4</v>
      </c>
      <c t="s" s="30" r="G707">
        <v>214</v>
      </c>
      <c t="str" s="12" r="H707">
        <f>HYPERLINK("http://sofifa.com/en/fifa13winter/player/146256-hakan-balta","H. Balta")</f>
        <v>H. Balta</v>
      </c>
      <c s="30" r="I707">
        <v>70</v>
      </c>
      <c t="s" s="30" r="J707">
        <v>117</v>
      </c>
      <c t="s" s="30" r="K707">
        <v>167</v>
      </c>
      <c t="s" s="30" r="L707">
        <v>153</v>
      </c>
      <c s="30" r="M707">
        <v>29</v>
      </c>
      <c s="26" r="N707">
        <v>1.5</v>
      </c>
      <c s="23" r="O707">
        <v>0.007</v>
      </c>
      <c s="7" r="P707"/>
      <c s="7" r="Q707"/>
      <c s="7" r="R707">
        <f>IF((P707&gt;0),O707,0)</f>
        <v>0</v>
      </c>
      <c t="str" r="S707">
        <f>CONCATENATE(F707,E707)</f>
        <v>NON FTLNON FTL</v>
      </c>
    </row>
    <row r="708">
      <c t="s" s="7" r="A708">
        <v>201</v>
      </c>
      <c s="7" r="B708">
        <v>735</v>
      </c>
      <c s="30" r="C708">
        <v>9</v>
      </c>
      <c t="s" s="30" r="D708">
        <v>136</v>
      </c>
      <c t="s" s="30" r="E708">
        <v>4</v>
      </c>
      <c t="s" s="30" r="F708">
        <v>4</v>
      </c>
      <c t="s" s="30" r="G708">
        <v>214</v>
      </c>
      <c t="str" s="12" r="H708">
        <f>HYPERLINK("http://sofifa.com/en/fifa13winter/player/145592-johan-elmander","J. Elmander")</f>
        <v>J. Elmander</v>
      </c>
      <c s="30" r="I708">
        <v>77</v>
      </c>
      <c t="s" s="30" r="J708">
        <v>129</v>
      </c>
      <c t="s" s="30" r="K708">
        <v>134</v>
      </c>
      <c t="s" s="30" r="L708">
        <v>156</v>
      </c>
      <c s="30" r="M708">
        <v>31</v>
      </c>
      <c s="26" r="N708">
        <v>5.4</v>
      </c>
      <c s="23" r="O708">
        <v>0.019</v>
      </c>
      <c s="7" r="P708"/>
      <c s="7" r="Q708"/>
      <c s="7" r="R708">
        <f>IF((P708&gt;0),O708,0)</f>
        <v>0</v>
      </c>
      <c t="str" r="S708">
        <f>CONCATENATE(F708,E708)</f>
        <v>NON FTLNON FTL</v>
      </c>
    </row>
    <row r="709">
      <c t="s" s="7" r="A709">
        <v>201</v>
      </c>
      <c s="7" r="B709">
        <v>736</v>
      </c>
      <c s="30" r="C709">
        <v>53</v>
      </c>
      <c t="s" s="30" r="D709">
        <v>136</v>
      </c>
      <c t="s" s="30" r="E709">
        <v>4</v>
      </c>
      <c t="s" s="30" r="F709">
        <v>4</v>
      </c>
      <c t="s" s="30" r="G709">
        <v>214</v>
      </c>
      <c t="str" s="12" r="H709">
        <f>HYPERLINK("http://sofifa.com/en/fifa13winter/player/147726-nordin-amrabat","N. Amrabat")</f>
        <v>N. Amrabat</v>
      </c>
      <c s="30" r="I709">
        <v>78</v>
      </c>
      <c t="s" s="30" r="J709">
        <v>170</v>
      </c>
      <c t="s" s="30" r="K709">
        <v>145</v>
      </c>
      <c t="s" s="30" r="L709">
        <v>158</v>
      </c>
      <c s="30" r="M709">
        <v>25</v>
      </c>
      <c s="26" r="N709">
        <v>7.1</v>
      </c>
      <c s="23" r="O709">
        <v>0.019</v>
      </c>
      <c s="7" r="P709"/>
      <c s="7" r="Q709"/>
      <c s="7" r="R709">
        <f>IF((P709&gt;0),O709,0)</f>
        <v>0</v>
      </c>
      <c t="str" r="S709">
        <f>CONCATENATE(F709,E709)</f>
        <v>NON FTLNON FTL</v>
      </c>
    </row>
    <row r="710">
      <c t="s" s="7" r="A710">
        <v>201</v>
      </c>
      <c s="7" r="B710">
        <v>737</v>
      </c>
      <c s="30" r="C710">
        <v>52</v>
      </c>
      <c t="s" s="30" r="D710">
        <v>136</v>
      </c>
      <c t="s" s="30" r="E710">
        <v>4</v>
      </c>
      <c t="s" s="30" r="F710">
        <v>4</v>
      </c>
      <c t="s" s="30" r="G710">
        <v>214</v>
      </c>
      <c t="str" s="12" r="H710">
        <f>HYPERLINK("http://sofifa.com/en/fifa13winter/player/149237-emre-colak","E. Çolak")</f>
        <v>E. Çolak</v>
      </c>
      <c s="30" r="I710">
        <v>74</v>
      </c>
      <c t="s" s="30" r="J710">
        <v>128</v>
      </c>
      <c t="s" s="30" r="K710">
        <v>205</v>
      </c>
      <c t="s" s="30" r="L710">
        <v>163</v>
      </c>
      <c s="30" r="M710">
        <v>21</v>
      </c>
      <c s="26" r="N710">
        <v>3.9</v>
      </c>
      <c s="23" r="O710">
        <v>0.009</v>
      </c>
      <c s="7" r="P710"/>
      <c s="7" r="Q710"/>
      <c s="7" r="R710">
        <f>IF((P710&gt;0),O710,0)</f>
        <v>0</v>
      </c>
      <c t="str" r="S710">
        <f>CONCATENATE(F710,E710)</f>
        <v>NON FTLNON FTL</v>
      </c>
    </row>
    <row r="711">
      <c t="s" s="7" r="A711">
        <v>201</v>
      </c>
      <c s="7" r="B711">
        <v>738</v>
      </c>
      <c s="30" r="C711">
        <v>5</v>
      </c>
      <c t="s" s="30" r="D711">
        <v>136</v>
      </c>
      <c t="s" s="30" r="E711">
        <v>4</v>
      </c>
      <c t="s" s="30" r="F711">
        <v>4</v>
      </c>
      <c t="s" s="30" r="G711">
        <v>214</v>
      </c>
      <c t="str" s="12" r="H711">
        <f>HYPERLINK("http://sofifa.com/en/fifa13winter/player/145695-gokhan-zan","G. Zan")</f>
        <v>G. Zan</v>
      </c>
      <c s="30" r="I711">
        <v>73</v>
      </c>
      <c t="s" s="30" r="J711">
        <v>113</v>
      </c>
      <c t="s" s="30" r="K711">
        <v>165</v>
      </c>
      <c t="s" s="30" r="L711">
        <v>179</v>
      </c>
      <c s="30" r="M711">
        <v>30</v>
      </c>
      <c s="26" r="N711">
        <v>2.7</v>
      </c>
      <c s="23" r="O711">
        <v>0.011</v>
      </c>
      <c s="7" r="P711"/>
      <c s="7" r="Q711"/>
      <c s="7" r="R711">
        <f>IF((P711&gt;0),O711,0)</f>
        <v>0</v>
      </c>
      <c t="str" r="S711">
        <f>CONCATENATE(F711,E711)</f>
        <v>NON FTLNON FTL</v>
      </c>
    </row>
    <row r="712">
      <c t="s" s="7" r="A712">
        <v>201</v>
      </c>
      <c s="7" r="B712">
        <v>739</v>
      </c>
      <c s="30" r="C712">
        <v>35</v>
      </c>
      <c t="s" s="30" r="D712">
        <v>136</v>
      </c>
      <c t="s" s="30" r="E712">
        <v>4</v>
      </c>
      <c t="s" s="30" r="F712">
        <v>4</v>
      </c>
      <c t="s" s="30" r="G712">
        <v>214</v>
      </c>
      <c t="str" s="12" r="H712">
        <f>HYPERLINK("http://sofifa.com/en/fifa13winter/player/147251-yekta-kurtulus","Y. Kurtuluş")</f>
        <v>Y. Kurtuluş</v>
      </c>
      <c s="30" r="I712">
        <v>72</v>
      </c>
      <c t="s" s="30" r="J712">
        <v>124</v>
      </c>
      <c t="s" s="30" r="K712">
        <v>130</v>
      </c>
      <c t="s" s="30" r="L712">
        <v>115</v>
      </c>
      <c s="30" r="M712">
        <v>26</v>
      </c>
      <c s="26" r="N712">
        <v>2.5</v>
      </c>
      <c s="23" r="O712">
        <v>0.009</v>
      </c>
      <c s="7" r="P712"/>
      <c s="7" r="Q712"/>
      <c s="7" r="R712">
        <f>IF((P712&gt;0),O712,0)</f>
        <v>0</v>
      </c>
      <c t="str" r="S712">
        <f>CONCATENATE(F712,E712)</f>
        <v>NON FTLNON FTL</v>
      </c>
    </row>
    <row r="713">
      <c t="s" s="7" r="A713">
        <v>201</v>
      </c>
      <c s="7" r="B713">
        <v>740</v>
      </c>
      <c s="30" r="C713">
        <v>33</v>
      </c>
      <c t="s" s="30" r="D713">
        <v>136</v>
      </c>
      <c t="s" s="30" r="E713">
        <v>4</v>
      </c>
      <c t="s" s="30" r="F713">
        <v>4</v>
      </c>
      <c t="s" s="30" r="G713">
        <v>214</v>
      </c>
      <c t="str" s="12" r="H713">
        <f>HYPERLINK("http://sofifa.com/en/fifa13winter/player/147181-caglar-birinci","C. Birinci")</f>
        <v>C. Birinci</v>
      </c>
      <c s="30" r="I713">
        <v>69</v>
      </c>
      <c t="s" s="30" r="J713">
        <v>117</v>
      </c>
      <c t="s" s="30" r="K713">
        <v>110</v>
      </c>
      <c t="s" s="30" r="L713">
        <v>138</v>
      </c>
      <c s="30" r="M713">
        <v>26</v>
      </c>
      <c s="26" r="N713">
        <v>1.6</v>
      </c>
      <c s="23" r="O713">
        <v>0.007</v>
      </c>
      <c s="7" r="P713"/>
      <c s="7" r="Q713"/>
      <c s="7" r="R713">
        <f>IF((P713&gt;0),O713,0)</f>
        <v>0</v>
      </c>
      <c t="str" r="S713">
        <f>CONCATENATE(F713,E713)</f>
        <v>NON FTLNON FTL</v>
      </c>
    </row>
    <row r="714">
      <c t="s" s="7" r="A714">
        <v>201</v>
      </c>
      <c s="7" r="B714">
        <v>741</v>
      </c>
      <c s="30" r="C714">
        <v>7</v>
      </c>
      <c t="s" s="30" r="D714">
        <v>136</v>
      </c>
      <c t="s" s="30" r="E714">
        <v>4</v>
      </c>
      <c t="s" s="30" r="F714">
        <v>4</v>
      </c>
      <c t="s" s="30" r="G714">
        <v>214</v>
      </c>
      <c t="str" s="12" r="H714">
        <f>HYPERLINK("http://sofifa.com/en/fifa13winter/player/148030-aydin-yilmaz","A. Yılmaz")</f>
        <v>A. Yılmaz</v>
      </c>
      <c s="30" r="I714">
        <v>72</v>
      </c>
      <c t="s" s="30" r="J714">
        <v>157</v>
      </c>
      <c t="s" s="30" r="K714">
        <v>172</v>
      </c>
      <c t="s" s="30" r="L714">
        <v>149</v>
      </c>
      <c s="30" r="M714">
        <v>24</v>
      </c>
      <c s="26" r="N714">
        <v>2.9</v>
      </c>
      <c s="23" r="O714">
        <v>0.009</v>
      </c>
      <c s="7" r="P714"/>
      <c s="7" r="Q714"/>
      <c s="7" r="R714">
        <f>IF((P714&gt;0),O714,0)</f>
        <v>0</v>
      </c>
      <c t="str" r="S714">
        <f>CONCATENATE(F714,E714)</f>
        <v>NON FTLNON FTL</v>
      </c>
    </row>
    <row r="715">
      <c t="s" s="7" r="A715">
        <v>201</v>
      </c>
      <c s="7" r="B715">
        <v>742</v>
      </c>
      <c s="30" r="C715">
        <v>67</v>
      </c>
      <c t="s" s="30" r="D715">
        <v>136</v>
      </c>
      <c t="s" s="30" r="E715">
        <v>4</v>
      </c>
      <c t="s" s="30" r="F715">
        <v>4</v>
      </c>
      <c t="s" s="30" r="G715">
        <v>214</v>
      </c>
      <c t="str" s="12" r="H715">
        <f>HYPERLINK("http://sofifa.com/en/fifa13winter/player/149297-eray-iscan","E. İşcan")</f>
        <v>E. İşcan</v>
      </c>
      <c s="30" r="I715">
        <v>63</v>
      </c>
      <c t="s" s="30" r="J715">
        <v>106</v>
      </c>
      <c t="s" s="30" r="K715">
        <v>215</v>
      </c>
      <c t="s" s="30" r="L715">
        <v>156</v>
      </c>
      <c s="30" r="M715">
        <v>21</v>
      </c>
      <c s="26" r="N715">
        <v>0.7</v>
      </c>
      <c s="23" r="O715">
        <v>0.004</v>
      </c>
      <c s="7" r="P715"/>
      <c s="7" r="Q715"/>
      <c s="7" r="R715">
        <f>IF((P715&gt;0),O715,0)</f>
        <v>0</v>
      </c>
      <c t="str" r="S715">
        <f>CONCATENATE(F715,E715)</f>
        <v>NON FTLNON FTL</v>
      </c>
    </row>
    <row r="716">
      <c t="s" s="7" r="A716">
        <v>201</v>
      </c>
      <c s="7" r="B716">
        <v>743</v>
      </c>
      <c s="30" r="C716">
        <v>55</v>
      </c>
      <c t="s" s="30" r="D716">
        <v>136</v>
      </c>
      <c t="s" s="30" r="E716">
        <v>4</v>
      </c>
      <c t="s" s="30" r="F716">
        <v>4</v>
      </c>
      <c t="s" s="30" r="G716">
        <v>214</v>
      </c>
      <c t="str" s="12" r="H716">
        <f>HYPERLINK("http://sofifa.com/en/fifa13winter/player/146748-sabri-sarioglu","S. Sarıoğlu")</f>
        <v>S. Sarıoğlu</v>
      </c>
      <c s="30" r="I716">
        <v>75</v>
      </c>
      <c t="s" s="30" r="J716">
        <v>109</v>
      </c>
      <c t="s" s="30" r="K716">
        <v>121</v>
      </c>
      <c t="s" s="30" r="L716">
        <v>164</v>
      </c>
      <c s="30" r="M716">
        <v>28</v>
      </c>
      <c s="26" r="N716">
        <v>4</v>
      </c>
      <c s="23" r="O716">
        <v>0.013</v>
      </c>
      <c s="7" r="P716"/>
      <c s="7" r="Q716"/>
      <c s="7" r="R716">
        <f>IF((P716&gt;0),O716,0)</f>
        <v>0</v>
      </c>
      <c t="str" r="S716">
        <f>CONCATENATE(F716,E716)</f>
        <v>NON FTLNON FTL</v>
      </c>
    </row>
    <row r="717">
      <c t="s" s="7" r="A717">
        <v>201</v>
      </c>
      <c s="7" r="B717">
        <v>744</v>
      </c>
      <c s="30" r="C717">
        <v>19</v>
      </c>
      <c t="s" s="30" r="D717">
        <v>136</v>
      </c>
      <c t="s" s="30" r="E717">
        <v>4</v>
      </c>
      <c t="s" s="30" r="F717">
        <v>4</v>
      </c>
      <c t="s" s="30" r="G717">
        <v>214</v>
      </c>
      <c t="str" s="12" r="H717">
        <f>HYPERLINK("http://sofifa.com/en/fifa13winter/player/146249-umut-bulut","U. Bulut")</f>
        <v>U. Bulut</v>
      </c>
      <c s="30" r="I717">
        <v>76</v>
      </c>
      <c t="s" s="30" r="J717">
        <v>129</v>
      </c>
      <c t="s" s="30" r="K717">
        <v>167</v>
      </c>
      <c t="s" s="30" r="L717">
        <v>151</v>
      </c>
      <c s="30" r="M717">
        <v>29</v>
      </c>
      <c s="26" r="N717">
        <v>5.7</v>
      </c>
      <c s="23" r="O717">
        <v>0.016</v>
      </c>
      <c s="7" r="P717"/>
      <c s="7" r="Q717"/>
      <c s="7" r="R717">
        <f>IF((P717&gt;0),O717,0)</f>
        <v>0</v>
      </c>
      <c t="str" r="S717">
        <f>CONCATENATE(F717,E717)</f>
        <v>NON FTLNON FTL</v>
      </c>
    </row>
    <row r="718">
      <c t="s" s="7" r="A718">
        <v>201</v>
      </c>
      <c s="7" r="B718">
        <v>745</v>
      </c>
      <c s="30" r="C718">
        <v>30</v>
      </c>
      <c t="s" s="30" r="D718">
        <v>147</v>
      </c>
      <c t="s" s="30" r="E718">
        <v>4</v>
      </c>
      <c t="s" s="30" r="F718">
        <v>4</v>
      </c>
      <c t="s" s="30" r="G718">
        <v>214</v>
      </c>
      <c t="str" s="12" r="H718">
        <f>HYPERLINK("http://sofifa.com/en/fifa13winter/player/144432-tomas-ujfalusi","T. Ujfaluši")</f>
        <v>T. Ujfaluši</v>
      </c>
      <c s="30" r="I718">
        <v>78</v>
      </c>
      <c t="s" s="30" r="J718">
        <v>113</v>
      </c>
      <c t="s" s="30" r="K718">
        <v>132</v>
      </c>
      <c t="s" s="30" r="L718">
        <v>137</v>
      </c>
      <c s="30" r="M718">
        <v>34</v>
      </c>
      <c s="26" r="N718">
        <v>4.1</v>
      </c>
      <c s="23" r="O718">
        <v>0.024</v>
      </c>
      <c s="7" r="P718"/>
      <c s="7" r="Q718"/>
      <c s="7" r="R718">
        <f>IF((P718&gt;0),O718,0)</f>
        <v>0</v>
      </c>
      <c t="str" r="S718">
        <f>CONCATENATE(F718,E718)</f>
        <v>NON FTLNON FTL</v>
      </c>
    </row>
    <row r="719">
      <c t="s" s="7" r="A719">
        <v>201</v>
      </c>
      <c s="7" r="B719">
        <v>746</v>
      </c>
      <c s="30" r="C719">
        <v>86</v>
      </c>
      <c t="s" s="30" r="D719">
        <v>147</v>
      </c>
      <c t="s" s="30" r="E719">
        <v>4</v>
      </c>
      <c t="s" s="30" r="F719">
        <v>4</v>
      </c>
      <c t="s" s="30" r="G719">
        <v>214</v>
      </c>
      <c t="str" s="12" r="H719">
        <f>HYPERLINK("http://sofifa.com/en/fifa13winter/player/147445-ufuk-ceylan","U. Ceylan")</f>
        <v>U. Ceylan</v>
      </c>
      <c s="30" r="I719">
        <v>70</v>
      </c>
      <c t="s" s="30" r="J719">
        <v>106</v>
      </c>
      <c t="s" s="30" r="K719">
        <v>188</v>
      </c>
      <c t="s" s="30" r="L719">
        <v>178</v>
      </c>
      <c s="30" r="M719">
        <v>26</v>
      </c>
      <c s="26" r="N719">
        <v>1.5</v>
      </c>
      <c s="23" r="O719">
        <v>0.007</v>
      </c>
      <c s="7" r="P719"/>
      <c s="7" r="Q719"/>
      <c s="7" r="R719">
        <f>IF((P719&gt;0),O719,0)</f>
        <v>0</v>
      </c>
      <c t="str" r="S719">
        <f>CONCATENATE(F719,E719)</f>
        <v>NON FTLNON FTL</v>
      </c>
    </row>
    <row r="720">
      <c t="s" s="7" r="A720">
        <v>201</v>
      </c>
      <c s="7" r="B720">
        <v>747</v>
      </c>
      <c s="30" r="C720">
        <v>23</v>
      </c>
      <c t="s" s="30" r="D720">
        <v>147</v>
      </c>
      <c t="s" s="30" r="E720">
        <v>4</v>
      </c>
      <c t="s" s="30" r="F720">
        <v>4</v>
      </c>
      <c t="s" s="30" r="G720">
        <v>214</v>
      </c>
      <c t="str" s="12" r="H720">
        <f>HYPERLINK("http://sofifa.com/en/fifa13winter/player/148978-furkan-ozcal","F. Özçal")</f>
        <v>F. Özçal</v>
      </c>
      <c s="30" r="I720">
        <v>61</v>
      </c>
      <c t="s" s="30" r="J720">
        <v>162</v>
      </c>
      <c t="s" s="30" r="K720">
        <v>195</v>
      </c>
      <c t="s" s="30" r="L720">
        <v>122</v>
      </c>
      <c s="30" r="M720">
        <v>21</v>
      </c>
      <c s="26" r="N720">
        <v>0.7</v>
      </c>
      <c s="23" r="O720">
        <v>0.003</v>
      </c>
      <c s="7" r="P720"/>
      <c s="7" r="Q720"/>
      <c s="7" r="R720">
        <f>IF((P720&gt;0),O720,0)</f>
        <v>0</v>
      </c>
      <c t="str" r="S720">
        <f>CONCATENATE(F720,E720)</f>
        <v>NON FTLNON FTL</v>
      </c>
    </row>
    <row r="721">
      <c t="s" s="7" r="A721">
        <v>201</v>
      </c>
      <c s="7" r="B721">
        <v>748</v>
      </c>
      <c s="30" r="C721">
        <v>80</v>
      </c>
      <c t="s" s="30" r="D721">
        <v>147</v>
      </c>
      <c t="s" s="30" r="E721">
        <v>4</v>
      </c>
      <c t="s" s="30" r="F721">
        <v>4</v>
      </c>
      <c t="s" s="30" r="G721">
        <v>214</v>
      </c>
      <c t="str" s="12" r="H721">
        <f>HYPERLINK("http://sofifa.com/en/fifa13winter/player/147509-colin-kazim-richards","C. Kazim-Richards")</f>
        <v>C. Kazim-Richards</v>
      </c>
      <c s="30" r="I721">
        <v>70</v>
      </c>
      <c t="s" s="30" r="J721">
        <v>129</v>
      </c>
      <c t="s" s="30" r="K721">
        <v>132</v>
      </c>
      <c t="s" s="30" r="L721">
        <v>115</v>
      </c>
      <c s="30" r="M721">
        <v>26</v>
      </c>
      <c s="26" r="N721">
        <v>2.2</v>
      </c>
      <c s="23" r="O721">
        <v>0.007</v>
      </c>
      <c s="7" r="P721"/>
      <c s="7" r="Q721"/>
      <c s="7" r="R721">
        <f>IF((P721&gt;0),O721,0)</f>
        <v>0</v>
      </c>
      <c t="str" r="S721">
        <f>CONCATENATE(F721,E721)</f>
        <v>NON FTLNON FTL</v>
      </c>
    </row>
    <row r="722">
      <c t="s" s="7" r="A722">
        <v>201</v>
      </c>
      <c s="7" r="B722">
        <v>749</v>
      </c>
      <c s="30" r="C722">
        <v>82</v>
      </c>
      <c t="s" s="30" r="D722">
        <v>147</v>
      </c>
      <c t="s" s="30" r="E722">
        <v>4</v>
      </c>
      <c t="s" s="30" r="F722">
        <v>4</v>
      </c>
      <c t="s" s="30" r="G722">
        <v>214</v>
      </c>
      <c t="str" s="12" r="H722">
        <f>HYPERLINK("http://sofifa.com/en/fifa13winter/player/146067-aykut-ercetin","A. Erçetin")</f>
        <v>A. Erçetin</v>
      </c>
      <c s="30" r="I722">
        <v>66</v>
      </c>
      <c t="s" s="30" r="J722">
        <v>106</v>
      </c>
      <c t="s" s="30" r="K722">
        <v>134</v>
      </c>
      <c t="s" s="30" r="L722">
        <v>193</v>
      </c>
      <c s="30" r="M722">
        <v>29</v>
      </c>
      <c s="26" r="N722">
        <v>0.9</v>
      </c>
      <c s="23" r="O722">
        <v>0.006</v>
      </c>
      <c s="7" r="P722"/>
      <c s="7" r="Q722"/>
      <c s="7" r="R722">
        <f>IF((P722&gt;0),O722,0)</f>
        <v>0</v>
      </c>
      <c t="str" r="S722">
        <f>CONCATENATE(F722,E722)</f>
        <v>NON FTLNON FTL</v>
      </c>
    </row>
    <row r="723">
      <c t="s" s="7" r="A723">
        <v>201</v>
      </c>
      <c s="7" r="B723">
        <v>750</v>
      </c>
      <c s="30" r="C723">
        <v>1</v>
      </c>
      <c t="s" s="30" r="D723">
        <v>106</v>
      </c>
      <c t="s" s="30" r="E723">
        <v>4</v>
      </c>
      <c t="s" s="30" r="F723">
        <v>4</v>
      </c>
      <c t="s" s="30" r="G723">
        <v>216</v>
      </c>
      <c t="str" s="12" r="H723">
        <f>HYPERLINK("http://sofifa.com/en/fifa13winter/player/144367-bogdan-lobont","B. Lobonţ")</f>
        <v>B. Lobonţ</v>
      </c>
      <c s="30" r="I723">
        <v>73</v>
      </c>
      <c t="s" s="30" r="J723">
        <v>106</v>
      </c>
      <c t="s" s="30" r="K723">
        <v>132</v>
      </c>
      <c t="s" s="30" r="L723">
        <v>161</v>
      </c>
      <c s="30" r="M723">
        <v>34</v>
      </c>
      <c s="26" r="N723">
        <v>1.6</v>
      </c>
      <c s="23" r="O723">
        <v>0.012</v>
      </c>
      <c s="7" r="P723"/>
      <c s="7" r="Q723"/>
      <c s="7" r="R723">
        <f>IF((P723&gt;0),O723,0)</f>
        <v>0</v>
      </c>
      <c t="str" r="S723">
        <f>CONCATENATE(F723,E723)</f>
        <v>NON FTLNON FTL</v>
      </c>
    </row>
    <row r="724">
      <c t="s" s="7" r="A724">
        <v>201</v>
      </c>
      <c s="7" r="B724">
        <v>751</v>
      </c>
      <c s="30" r="C724">
        <v>23</v>
      </c>
      <c t="s" s="30" r="D724">
        <v>109</v>
      </c>
      <c t="s" s="30" r="E724">
        <v>4</v>
      </c>
      <c t="s" s="30" r="F724">
        <v>4</v>
      </c>
      <c t="s" s="30" r="G724">
        <v>216</v>
      </c>
      <c t="str" s="12" r="H724">
        <f>HYPERLINK("http://sofifa.com/en/fifa13winter/player/148436-ivan-piris","I. Piris")</f>
        <v>I. Piris</v>
      </c>
      <c s="30" r="I724">
        <v>71</v>
      </c>
      <c t="s" s="30" r="J724">
        <v>109</v>
      </c>
      <c t="s" s="30" r="K724">
        <v>182</v>
      </c>
      <c t="s" s="30" r="L724">
        <v>115</v>
      </c>
      <c s="30" r="M724">
        <v>23</v>
      </c>
      <c s="26" r="N724">
        <v>2.2</v>
      </c>
      <c s="23" r="O724">
        <v>0.007</v>
      </c>
      <c s="7" r="P724"/>
      <c s="7" r="Q724"/>
      <c s="7" r="R724">
        <f>IF((P724&gt;0),O724,0)</f>
        <v>0</v>
      </c>
      <c t="str" r="S724">
        <f>CONCATENATE(F724,E724)</f>
        <v>NON FTLNON FTL</v>
      </c>
    </row>
    <row r="725">
      <c t="s" s="7" r="A725">
        <v>201</v>
      </c>
      <c s="7" r="B725">
        <v>752</v>
      </c>
      <c s="30" r="C725">
        <v>29</v>
      </c>
      <c t="s" s="30" r="D725">
        <v>112</v>
      </c>
      <c t="s" s="30" r="E725">
        <v>4</v>
      </c>
      <c t="s" s="30" r="F725">
        <v>4</v>
      </c>
      <c t="s" s="30" r="G725">
        <v>216</v>
      </c>
      <c t="str" s="12" r="H725">
        <f>HYPERLINK("http://sofifa.com/en/fifa13winter/player/145547-nicolas-burdisso","N. Burdisso")</f>
        <v>N. Burdisso</v>
      </c>
      <c s="30" r="I725">
        <v>76</v>
      </c>
      <c t="s" s="30" r="J725">
        <v>113</v>
      </c>
      <c t="s" s="30" r="K725">
        <v>143</v>
      </c>
      <c t="s" s="30" r="L725">
        <v>183</v>
      </c>
      <c s="30" r="M725">
        <v>31</v>
      </c>
      <c s="26" r="N725">
        <v>3.9</v>
      </c>
      <c s="23" r="O725">
        <v>0.017</v>
      </c>
      <c s="7" r="P725"/>
      <c s="7" r="Q725"/>
      <c s="7" r="R725">
        <f>IF((P725&gt;0),O725,0)</f>
        <v>0</v>
      </c>
      <c t="str" r="S725">
        <f>CONCATENATE(F725,E725)</f>
        <v>NON FTLNON FTL</v>
      </c>
    </row>
    <row r="726">
      <c t="s" s="7" r="A726">
        <v>201</v>
      </c>
      <c s="7" r="B726">
        <v>753</v>
      </c>
      <c s="30" r="C726">
        <v>5</v>
      </c>
      <c t="s" s="30" r="D726">
        <v>116</v>
      </c>
      <c t="s" s="30" r="E726">
        <v>4</v>
      </c>
      <c t="s" s="30" r="F726">
        <v>4</v>
      </c>
      <c t="s" s="30" r="G726">
        <v>216</v>
      </c>
      <c t="str" s="12" r="H726">
        <f>HYPERLINK("http://sofifa.com/en/fifa13winter/player/147580-leandro-castan-da-silva","Leandro Castán")</f>
        <v>Leandro Castán</v>
      </c>
      <c s="30" r="I726">
        <v>77</v>
      </c>
      <c t="s" s="30" r="J726">
        <v>113</v>
      </c>
      <c t="s" s="30" r="K726">
        <v>132</v>
      </c>
      <c t="s" s="30" r="L726">
        <v>153</v>
      </c>
      <c s="30" r="M726">
        <v>25</v>
      </c>
      <c s="26" r="N726">
        <v>5.7</v>
      </c>
      <c s="23" r="O726">
        <v>0.017</v>
      </c>
      <c s="7" r="P726"/>
      <c s="7" r="Q726"/>
      <c s="7" r="R726">
        <f>IF((P726&gt;0),O726,0)</f>
        <v>0</v>
      </c>
      <c t="str" r="S726">
        <f>CONCATENATE(F726,E726)</f>
        <v>NON FTLNON FTL</v>
      </c>
    </row>
    <row r="727">
      <c t="s" s="7" r="A727">
        <v>201</v>
      </c>
      <c s="7" r="B727">
        <v>754</v>
      </c>
      <c s="30" r="C727">
        <v>42</v>
      </c>
      <c t="s" s="30" r="D727">
        <v>117</v>
      </c>
      <c t="s" s="30" r="E727">
        <v>4</v>
      </c>
      <c t="s" s="30" r="F727">
        <v>4</v>
      </c>
      <c t="s" s="30" r="G727">
        <v>216</v>
      </c>
      <c t="str" s="12" r="H727">
        <f>HYPERLINK("http://sofifa.com/en/fifa13winter/player/145785-federico-balzaretti","F. Balzaretti")</f>
        <v>F. Balzaretti</v>
      </c>
      <c s="30" r="I727">
        <v>77</v>
      </c>
      <c t="s" s="30" r="J727">
        <v>117</v>
      </c>
      <c t="s" s="30" r="K727">
        <v>118</v>
      </c>
      <c t="s" s="30" r="L727">
        <v>122</v>
      </c>
      <c s="30" r="M727">
        <v>30</v>
      </c>
      <c s="26" r="N727">
        <v>4.5</v>
      </c>
      <c s="23" r="O727">
        <v>0.019</v>
      </c>
      <c s="7" r="P727"/>
      <c s="7" r="Q727"/>
      <c s="7" r="R727">
        <f>IF((P727&gt;0),O727,0)</f>
        <v>0</v>
      </c>
      <c t="str" r="S727">
        <f>CONCATENATE(F727,E727)</f>
        <v>NON FTLNON FTL</v>
      </c>
    </row>
    <row r="728">
      <c t="s" s="7" r="A728">
        <v>201</v>
      </c>
      <c s="7" r="B728">
        <v>755</v>
      </c>
      <c s="30" r="C728">
        <v>16</v>
      </c>
      <c t="s" s="30" r="D728">
        <v>154</v>
      </c>
      <c t="s" s="30" r="E728">
        <v>4</v>
      </c>
      <c t="s" s="30" r="F728">
        <v>4</v>
      </c>
      <c t="s" s="30" r="G728">
        <v>216</v>
      </c>
      <c t="str" s="12" r="H728">
        <f>HYPERLINK("http://sofifa.com/en/fifa13winter/player/146380-daniele-de-rossi","D. De Rossi")</f>
        <v>D. De Rossi</v>
      </c>
      <c s="30" r="I728">
        <v>85</v>
      </c>
      <c t="s" s="30" r="J728">
        <v>154</v>
      </c>
      <c t="s" s="30" r="K728">
        <v>167</v>
      </c>
      <c t="s" s="30" r="L728">
        <v>108</v>
      </c>
      <c s="30" r="M728">
        <v>29</v>
      </c>
      <c s="26" r="N728">
        <v>17.3</v>
      </c>
      <c s="23" r="O728">
        <v>0.108</v>
      </c>
      <c s="7" r="P728"/>
      <c s="7" r="Q728"/>
      <c s="7" r="R728">
        <f>IF((P728&gt;0),O728,0)</f>
        <v>0</v>
      </c>
      <c t="str" r="S728">
        <f>CONCATENATE(F728,E728)</f>
        <v>NON FTLNON FTL</v>
      </c>
    </row>
    <row r="729">
      <c t="s" s="7" r="A729">
        <v>201</v>
      </c>
      <c s="7" r="B729">
        <v>756</v>
      </c>
      <c s="30" r="C729">
        <v>4</v>
      </c>
      <c t="s" s="30" r="D729">
        <v>123</v>
      </c>
      <c t="s" s="30" r="E729">
        <v>4</v>
      </c>
      <c t="s" s="30" r="F729">
        <v>4</v>
      </c>
      <c t="s" s="30" r="G729">
        <v>216</v>
      </c>
      <c t="str" s="12" r="H729">
        <f>HYPERLINK("http://sofifa.com/en/fifa13winter/player/147848-michael-bradley","M. Bradley")</f>
        <v>M. Bradley</v>
      </c>
      <c s="30" r="I729">
        <v>77</v>
      </c>
      <c t="s" s="30" r="J729">
        <v>124</v>
      </c>
      <c t="s" s="30" r="K729">
        <v>169</v>
      </c>
      <c t="s" s="30" r="L729">
        <v>180</v>
      </c>
      <c s="30" r="M729">
        <v>25</v>
      </c>
      <c s="26" r="N729">
        <v>5.7</v>
      </c>
      <c s="23" r="O729">
        <v>0.017</v>
      </c>
      <c s="7" r="P729"/>
      <c s="7" r="Q729"/>
      <c s="7" r="R729">
        <f>IF((P729&gt;0),O729,0)</f>
        <v>0</v>
      </c>
      <c t="str" r="S729">
        <f>CONCATENATE(F729,E729)</f>
        <v>NON FTLNON FTL</v>
      </c>
    </row>
    <row r="730">
      <c t="s" s="7" r="A730">
        <v>201</v>
      </c>
      <c s="7" r="B730">
        <v>757</v>
      </c>
      <c s="30" r="C730">
        <v>15</v>
      </c>
      <c t="s" s="30" r="D730">
        <v>126</v>
      </c>
      <c t="s" s="30" r="E730">
        <v>4</v>
      </c>
      <c t="s" s="30" r="F730">
        <v>4</v>
      </c>
      <c t="s" s="30" r="G730">
        <v>216</v>
      </c>
      <c t="str" s="12" r="H730">
        <f>HYPERLINK("http://sofifa.com/en/fifa13winter/player/148824-miralem-pjanic","M. Pjanić")</f>
        <v>M. Pjanić</v>
      </c>
      <c s="30" r="I730">
        <v>78</v>
      </c>
      <c t="s" s="30" r="J730">
        <v>124</v>
      </c>
      <c t="s" s="30" r="K730">
        <v>114</v>
      </c>
      <c t="s" s="30" r="L730">
        <v>115</v>
      </c>
      <c s="30" r="M730">
        <v>22</v>
      </c>
      <c s="26" r="N730">
        <v>6.8</v>
      </c>
      <c s="23" r="O730">
        <v>0.017</v>
      </c>
      <c s="7" r="P730"/>
      <c s="7" r="Q730"/>
      <c s="7" r="R730">
        <f>IF((P730&gt;0),O730,0)</f>
        <v>0</v>
      </c>
      <c t="str" r="S730">
        <f>CONCATENATE(F730,E730)</f>
        <v>NON FTLNON FTL</v>
      </c>
    </row>
    <row r="731">
      <c t="s" s="7" r="A731">
        <v>201</v>
      </c>
      <c s="7" r="B731">
        <v>758</v>
      </c>
      <c s="30" r="C731">
        <v>8</v>
      </c>
      <c t="s" s="30" r="D731">
        <v>157</v>
      </c>
      <c t="s" s="30" r="E731">
        <v>4</v>
      </c>
      <c t="s" s="30" r="F731">
        <v>4</v>
      </c>
      <c t="s" s="30" r="G731">
        <v>216</v>
      </c>
      <c t="str" s="12" r="H731">
        <f>HYPERLINK("http://sofifa.com/en/fifa13winter/player/149526-erik-lamela","E. Lamela")</f>
        <v>E. Lamela</v>
      </c>
      <c s="30" r="I731">
        <v>82</v>
      </c>
      <c t="s" s="30" r="J731">
        <v>157</v>
      </c>
      <c t="s" s="30" r="K731">
        <v>110</v>
      </c>
      <c t="s" s="30" r="L731">
        <v>122</v>
      </c>
      <c s="30" r="M731">
        <v>20</v>
      </c>
      <c s="26" r="N731">
        <v>17.8</v>
      </c>
      <c s="23" r="O731">
        <v>0.045</v>
      </c>
      <c s="7" r="P731"/>
      <c s="7" r="Q731"/>
      <c s="7" r="R731">
        <f>IF((P731&gt;0),O731,0)</f>
        <v>0</v>
      </c>
      <c t="str" r="S731">
        <f>CONCATENATE(F731,E731)</f>
        <v>NON FTLNON FTL</v>
      </c>
    </row>
    <row r="732">
      <c t="s" s="7" r="A732">
        <v>201</v>
      </c>
      <c s="7" r="B732">
        <v>759</v>
      </c>
      <c s="30" r="C732">
        <v>9</v>
      </c>
      <c t="s" s="30" r="D732">
        <v>129</v>
      </c>
      <c t="s" s="30" r="E732">
        <v>4</v>
      </c>
      <c t="s" s="30" r="F732">
        <v>4</v>
      </c>
      <c t="s" s="30" r="G732">
        <v>216</v>
      </c>
      <c t="str" s="12" r="H732">
        <f>HYPERLINK("http://sofifa.com/en/fifa13winter/player/147283-pablo-osvaldo","P. Osvaldo")</f>
        <v>P. Osvaldo</v>
      </c>
      <c s="30" r="I732">
        <v>80</v>
      </c>
      <c t="s" s="30" r="J732">
        <v>129</v>
      </c>
      <c t="s" s="30" r="K732">
        <v>143</v>
      </c>
      <c t="s" s="30" r="L732">
        <v>160</v>
      </c>
      <c s="30" r="M732">
        <v>26</v>
      </c>
      <c s="26" r="N732">
        <v>12.1</v>
      </c>
      <c s="23" r="O732">
        <v>0.03</v>
      </c>
      <c s="7" r="P732"/>
      <c s="7" r="Q732"/>
      <c s="7" r="R732">
        <f>IF((P732&gt;0),O732,0)</f>
        <v>0</v>
      </c>
      <c t="str" r="S732">
        <f>CONCATENATE(F732,E732)</f>
        <v>NON FTLNON FTL</v>
      </c>
    </row>
    <row r="733">
      <c t="s" s="7" r="A733">
        <v>201</v>
      </c>
      <c s="7" r="B733">
        <v>760</v>
      </c>
      <c s="30" r="C733">
        <v>10</v>
      </c>
      <c t="s" s="30" r="D733">
        <v>170</v>
      </c>
      <c t="s" s="30" r="E733">
        <v>4</v>
      </c>
      <c t="s" s="30" r="F733">
        <v>4</v>
      </c>
      <c t="s" s="30" r="G733">
        <v>216</v>
      </c>
      <c t="str" s="12" r="H733">
        <f>HYPERLINK("http://sofifa.com/en/fifa13winter/player/143889-francesco-totti","F. Totti")</f>
        <v>F. Totti</v>
      </c>
      <c s="30" r="I733">
        <v>82</v>
      </c>
      <c t="s" s="30" r="J733">
        <v>170</v>
      </c>
      <c t="s" s="30" r="K733">
        <v>114</v>
      </c>
      <c t="s" s="30" r="L733">
        <v>138</v>
      </c>
      <c s="30" r="M733">
        <v>35</v>
      </c>
      <c s="26" r="N733">
        <v>10.1</v>
      </c>
      <c s="23" r="O733">
        <v>0.068</v>
      </c>
      <c s="7" r="P733"/>
      <c s="7" r="Q733"/>
      <c s="7" r="R733">
        <f>IF((P733&gt;0),O733,0)</f>
        <v>0</v>
      </c>
      <c t="str" r="S733">
        <f>CONCATENATE(F733,E733)</f>
        <v>NON FTLNON FTL</v>
      </c>
    </row>
    <row r="734">
      <c t="s" s="7" r="A734">
        <v>201</v>
      </c>
      <c s="7" r="B734">
        <v>761</v>
      </c>
      <c s="30" r="C734">
        <v>3</v>
      </c>
      <c t="s" s="30" r="D734">
        <v>136</v>
      </c>
      <c t="s" s="30" r="E734">
        <v>4</v>
      </c>
      <c t="s" s="30" r="F734">
        <v>4</v>
      </c>
      <c t="s" s="30" r="G734">
        <v>216</v>
      </c>
      <c t="str" s="12" r="H734">
        <f>HYPERLINK("http://sofifa.com/en/fifa13winter/player/150327-marcos-aoas-correa","Marquinhos")</f>
        <v>Marquinhos</v>
      </c>
      <c s="30" r="I734">
        <v>76</v>
      </c>
      <c t="s" s="30" r="J734">
        <v>113</v>
      </c>
      <c t="s" s="30" r="K734">
        <v>114</v>
      </c>
      <c t="s" s="30" r="L734">
        <v>163</v>
      </c>
      <c s="30" r="M734">
        <v>18</v>
      </c>
      <c s="26" r="N734">
        <v>5.7</v>
      </c>
      <c s="23" r="O734">
        <v>0.011</v>
      </c>
      <c s="7" r="P734"/>
      <c s="7" r="Q734"/>
      <c s="7" r="R734">
        <f>IF((P734&gt;0),O734,0)</f>
        <v>0</v>
      </c>
      <c t="str" r="S734">
        <f>CONCATENATE(F734,E734)</f>
        <v>NON FTLNON FTL</v>
      </c>
    </row>
    <row r="735">
      <c t="s" s="7" r="A735">
        <v>201</v>
      </c>
      <c s="7" r="B735">
        <v>762</v>
      </c>
      <c s="30" r="C735">
        <v>17</v>
      </c>
      <c t="s" s="30" r="D735">
        <v>136</v>
      </c>
      <c t="s" s="30" r="E735">
        <v>4</v>
      </c>
      <c t="s" s="30" r="F735">
        <v>4</v>
      </c>
      <c t="s" s="30" r="G735">
        <v>216</v>
      </c>
      <c t="str" s="12" r="H735">
        <f>HYPERLINK("http://sofifa.com/en/fifa13winter/player/150102-nico-lopez","N. López")</f>
        <v>N. López</v>
      </c>
      <c s="30" r="I735">
        <v>70</v>
      </c>
      <c t="s" s="30" r="J735">
        <v>129</v>
      </c>
      <c t="s" s="30" r="K735">
        <v>139</v>
      </c>
      <c t="s" s="30" r="L735">
        <v>163</v>
      </c>
      <c s="30" r="M735">
        <v>18</v>
      </c>
      <c s="26" r="N735">
        <v>2.6</v>
      </c>
      <c s="23" r="O735">
        <v>0.005</v>
      </c>
      <c s="7" r="P735"/>
      <c s="7" r="Q735"/>
      <c s="7" r="R735">
        <f>IF((P735&gt;0),O735,0)</f>
        <v>0</v>
      </c>
      <c t="str" r="S735">
        <f>CONCATENATE(F735,E735)</f>
        <v>NON FTLNON FTL</v>
      </c>
    </row>
    <row r="736">
      <c t="s" s="7" r="A736">
        <v>201</v>
      </c>
      <c s="7" r="B736">
        <v>763</v>
      </c>
      <c s="30" r="C736">
        <v>46</v>
      </c>
      <c t="s" s="30" r="D736">
        <v>136</v>
      </c>
      <c t="s" s="30" r="E736">
        <v>4</v>
      </c>
      <c t="s" s="30" r="F736">
        <v>4</v>
      </c>
      <c t="s" s="30" r="G736">
        <v>216</v>
      </c>
      <c t="str" s="12" r="H736">
        <f>HYPERLINK("http://sofifa.com/en/fifa13winter/player/150570-alessio-romagnoli","A. Romagnoli")</f>
        <v>A. Romagnoli</v>
      </c>
      <c s="30" r="I736">
        <v>67</v>
      </c>
      <c t="s" s="30" r="J736">
        <v>113</v>
      </c>
      <c t="s" s="30" r="K736">
        <v>132</v>
      </c>
      <c t="s" s="30" r="L736">
        <v>151</v>
      </c>
      <c s="30" r="M736">
        <v>17</v>
      </c>
      <c s="26" r="N736">
        <v>1.6</v>
      </c>
      <c s="23" r="O736">
        <v>0.004</v>
      </c>
      <c s="7" r="P736"/>
      <c s="7" r="Q736"/>
      <c s="7" r="R736">
        <f>IF((P736&gt;0),O736,0)</f>
        <v>0</v>
      </c>
      <c t="str" r="S736">
        <f>CONCATENATE(F736,E736)</f>
        <v>NON FTLNON FTL</v>
      </c>
    </row>
    <row r="737">
      <c t="s" s="7" r="A737">
        <v>201</v>
      </c>
      <c s="7" r="B737">
        <v>764</v>
      </c>
      <c s="30" r="C737">
        <v>48</v>
      </c>
      <c t="s" s="30" r="D737">
        <v>136</v>
      </c>
      <c t="s" s="30" r="E737">
        <v>4</v>
      </c>
      <c t="s" s="30" r="F737">
        <v>4</v>
      </c>
      <c t="s" s="30" r="G737">
        <v>216</v>
      </c>
      <c t="str" s="12" r="H737">
        <f>HYPERLINK("http://sofifa.com/en/fifa13winter/player/149167-alessandro-florenzi","A. Florenzi")</f>
        <v>A. Florenzi</v>
      </c>
      <c s="30" r="I737">
        <v>75</v>
      </c>
      <c t="s" s="30" r="J737">
        <v>124</v>
      </c>
      <c t="s" s="30" r="K737">
        <v>130</v>
      </c>
      <c t="s" s="30" r="L737">
        <v>125</v>
      </c>
      <c s="30" r="M737">
        <v>21</v>
      </c>
      <c s="26" r="N737">
        <v>4.5</v>
      </c>
      <c s="23" r="O737">
        <v>0.011</v>
      </c>
      <c s="7" r="P737"/>
      <c s="7" r="Q737"/>
      <c s="7" r="R737">
        <f>IF((P737&gt;0),O737,0)</f>
        <v>0</v>
      </c>
      <c t="str" r="S737">
        <f>CONCATENATE(F737,E737)</f>
        <v>NON FTLNON FTL</v>
      </c>
    </row>
    <row r="738">
      <c t="s" s="7" r="A738">
        <v>201</v>
      </c>
      <c s="7" r="B738">
        <v>765</v>
      </c>
      <c s="30" r="C738">
        <v>27</v>
      </c>
      <c t="s" s="30" r="D738">
        <v>136</v>
      </c>
      <c t="s" s="30" r="E738">
        <v>4</v>
      </c>
      <c t="s" s="30" r="F738">
        <v>4</v>
      </c>
      <c t="s" s="30" r="G738">
        <v>216</v>
      </c>
      <c t="str" s="12" r="H738">
        <f>HYPERLINK("http://sofifa.com/en/fifa13winter/player/149499-jose-rodolfo-pires-ribeiro","Dodô")</f>
        <v>Dodô</v>
      </c>
      <c s="30" r="I738">
        <v>68</v>
      </c>
      <c t="s" s="30" r="J738">
        <v>117</v>
      </c>
      <c t="s" s="30" r="K738">
        <v>159</v>
      </c>
      <c t="s" s="30" r="L738">
        <v>111</v>
      </c>
      <c s="30" r="M738">
        <v>20</v>
      </c>
      <c s="26" r="N738">
        <v>1.6</v>
      </c>
      <c s="23" r="O738">
        <v>0.005</v>
      </c>
      <c s="7" r="P738"/>
      <c s="7" r="Q738"/>
      <c s="7" r="R738">
        <f>IF((P738&gt;0),O738,0)</f>
        <v>0</v>
      </c>
      <c t="str" r="S738">
        <f>CONCATENATE(F738,E738)</f>
        <v>NON FTLNON FTL</v>
      </c>
    </row>
    <row r="739">
      <c t="s" s="7" r="A739">
        <v>201</v>
      </c>
      <c s="7" r="B739">
        <v>766</v>
      </c>
      <c s="30" r="C739">
        <v>22</v>
      </c>
      <c t="s" s="30" r="D739">
        <v>136</v>
      </c>
      <c t="s" s="30" r="E739">
        <v>4</v>
      </c>
      <c t="s" s="30" r="F739">
        <v>4</v>
      </c>
      <c t="s" s="30" r="G739">
        <v>216</v>
      </c>
      <c t="str" s="12" r="H739">
        <f>HYPERLINK("http://sofifa.com/en/fifa13winter/player/149176-mattia-destro","M. Destro")</f>
        <v>M. Destro</v>
      </c>
      <c s="30" r="I739">
        <v>76</v>
      </c>
      <c t="s" s="30" r="J739">
        <v>129</v>
      </c>
      <c t="s" s="30" r="K739">
        <v>150</v>
      </c>
      <c t="s" s="30" r="L739">
        <v>146</v>
      </c>
      <c s="30" r="M739">
        <v>21</v>
      </c>
      <c s="26" r="N739">
        <v>6.5</v>
      </c>
      <c s="23" r="O739">
        <v>0.013</v>
      </c>
      <c s="7" r="P739"/>
      <c s="7" r="Q739"/>
      <c s="7" r="R739">
        <f>IF((P739&gt;0),O739,0)</f>
        <v>0</v>
      </c>
      <c t="str" r="S739">
        <f>CONCATENATE(F739,E739)</f>
        <v>NON FTLNON FTL</v>
      </c>
    </row>
    <row r="740">
      <c t="s" s="7" r="A740">
        <v>201</v>
      </c>
      <c s="7" r="B740">
        <v>767</v>
      </c>
      <c s="30" r="C740">
        <v>77</v>
      </c>
      <c t="s" s="30" r="D740">
        <v>136</v>
      </c>
      <c t="s" s="30" r="E740">
        <v>4</v>
      </c>
      <c t="s" s="30" r="F740">
        <v>4</v>
      </c>
      <c t="s" s="30" r="G740">
        <v>216</v>
      </c>
      <c t="str" s="12" r="H740">
        <f>HYPERLINK("http://sofifa.com/en/fifa13winter/player/149143-panagiotis-tachtsidis","P. Tachtsidis")</f>
        <v>P. Tachtsidis</v>
      </c>
      <c s="30" r="I740">
        <v>73</v>
      </c>
      <c t="s" s="30" r="J740">
        <v>154</v>
      </c>
      <c t="s" s="30" r="K740">
        <v>144</v>
      </c>
      <c t="s" s="30" r="L740">
        <v>180</v>
      </c>
      <c s="30" r="M740">
        <v>21</v>
      </c>
      <c s="26" r="N740">
        <v>3.1</v>
      </c>
      <c s="23" r="O740">
        <v>0.009</v>
      </c>
      <c s="7" r="P740"/>
      <c s="7" r="Q740"/>
      <c s="7" r="R740">
        <f>IF((P740&gt;0),O740,0)</f>
        <v>0</v>
      </c>
      <c t="str" r="S740">
        <f>CONCATENATE(F740,E740)</f>
        <v>NON FTLNON FTL</v>
      </c>
    </row>
    <row r="741">
      <c t="s" s="7" r="A741">
        <v>201</v>
      </c>
      <c s="7" r="B741">
        <v>768</v>
      </c>
      <c s="30" r="C741">
        <v>7</v>
      </c>
      <c t="s" s="30" r="D741">
        <v>136</v>
      </c>
      <c t="s" s="30" r="E741">
        <v>4</v>
      </c>
      <c t="s" s="30" r="F741">
        <v>4</v>
      </c>
      <c t="s" s="30" r="G741">
        <v>216</v>
      </c>
      <c t="str" s="12" r="H741">
        <f>HYPERLINK("http://sofifa.com/en/fifa13winter/player/147455-marco-antonio-de-mattos-filho","Marquinho")</f>
        <v>Marquinho</v>
      </c>
      <c s="30" r="I741">
        <v>76</v>
      </c>
      <c t="s" s="30" r="J741">
        <v>128</v>
      </c>
      <c t="s" s="30" r="K741">
        <v>143</v>
      </c>
      <c t="s" s="30" r="L741">
        <v>158</v>
      </c>
      <c s="30" r="M741">
        <v>26</v>
      </c>
      <c s="26" r="N741">
        <v>5</v>
      </c>
      <c s="23" r="O741">
        <v>0.015</v>
      </c>
      <c s="7" r="P741"/>
      <c s="7" r="Q741"/>
      <c s="7" r="R741">
        <f>IF((P741&gt;0),O741,0)</f>
        <v>0</v>
      </c>
      <c t="str" r="S741">
        <f>CONCATENATE(F741,E741)</f>
        <v>NON FTLNON FTL</v>
      </c>
    </row>
    <row r="742">
      <c t="s" s="7" r="A742">
        <v>201</v>
      </c>
      <c s="7" r="B742">
        <v>769</v>
      </c>
      <c s="30" r="C742">
        <v>35</v>
      </c>
      <c t="s" s="30" r="D742">
        <v>136</v>
      </c>
      <c t="s" s="30" r="E742">
        <v>4</v>
      </c>
      <c t="s" s="30" r="F742">
        <v>4</v>
      </c>
      <c t="s" s="30" r="G742">
        <v>216</v>
      </c>
      <c t="str" s="12" r="H742">
        <f>HYPERLINK("http://sofifa.com/en/fifa13winter/player/147067-vassilis-torosidis","V. Torosidis")</f>
        <v>V. Torosidis</v>
      </c>
      <c s="30" r="I742">
        <v>76</v>
      </c>
      <c t="s" s="30" r="J742">
        <v>109</v>
      </c>
      <c t="s" s="30" r="K742">
        <v>173</v>
      </c>
      <c t="s" s="30" r="L742">
        <v>153</v>
      </c>
      <c s="30" r="M742">
        <v>27</v>
      </c>
      <c s="26" r="N742">
        <v>4.5</v>
      </c>
      <c s="23" r="O742">
        <v>0.015</v>
      </c>
      <c s="7" r="P742"/>
      <c s="7" r="Q742"/>
      <c s="7" r="R742">
        <f>IF((P742&gt;0),O742,0)</f>
        <v>0</v>
      </c>
      <c t="str" r="S742">
        <f>CONCATENATE(F742,E742)</f>
        <v>NON FTLNON FTL</v>
      </c>
    </row>
    <row r="743">
      <c t="s" s="7" r="A743">
        <v>201</v>
      </c>
      <c s="7" r="B743">
        <v>770</v>
      </c>
      <c s="30" r="C743">
        <v>11</v>
      </c>
      <c t="s" s="30" r="D743">
        <v>136</v>
      </c>
      <c t="s" s="30" r="E743">
        <v>4</v>
      </c>
      <c t="s" s="30" r="F743">
        <v>4</v>
      </c>
      <c t="s" s="30" r="G743">
        <v>216</v>
      </c>
      <c t="str" s="12" r="H743">
        <f>HYPERLINK("http://sofifa.com/en/fifa13winter/player/145145-rodrigo-ferrante-taddei","Taddei")</f>
        <v>Taddei</v>
      </c>
      <c s="30" r="I743">
        <v>71</v>
      </c>
      <c t="s" s="30" r="J743">
        <v>109</v>
      </c>
      <c t="s" s="30" r="K743">
        <v>159</v>
      </c>
      <c t="s" s="30" r="L743">
        <v>111</v>
      </c>
      <c s="30" r="M743">
        <v>32</v>
      </c>
      <c s="26" r="N743">
        <v>1.6</v>
      </c>
      <c s="23" r="O743">
        <v>0.009</v>
      </c>
      <c s="7" r="P743"/>
      <c s="7" r="Q743"/>
      <c s="7" r="R743">
        <f>IF((P743&gt;0),O743,0)</f>
        <v>0</v>
      </c>
      <c t="str" r="S743">
        <f>CONCATENATE(F743,E743)</f>
        <v>NON FTLNON FTL</v>
      </c>
    </row>
    <row r="744">
      <c t="s" s="7" r="A744">
        <v>201</v>
      </c>
      <c s="7" r="B744">
        <v>771</v>
      </c>
      <c s="30" r="C744">
        <v>20</v>
      </c>
      <c t="s" s="30" r="D744">
        <v>136</v>
      </c>
      <c t="s" s="30" r="E744">
        <v>4</v>
      </c>
      <c t="s" s="30" r="F744">
        <v>4</v>
      </c>
      <c t="s" s="30" r="G744">
        <v>216</v>
      </c>
      <c t="str" s="12" r="H744">
        <f>HYPERLINK("http://sofifa.com/en/fifa13winter/player/144244-simone-perrotta","S. Perrotta")</f>
        <v>S. Perrotta</v>
      </c>
      <c s="30" r="I744">
        <v>72</v>
      </c>
      <c t="s" s="30" r="J744">
        <v>124</v>
      </c>
      <c t="s" s="30" r="K744">
        <v>145</v>
      </c>
      <c t="s" s="30" r="L744">
        <v>146</v>
      </c>
      <c s="30" r="M744">
        <v>34</v>
      </c>
      <c s="26" r="N744">
        <v>1.7</v>
      </c>
      <c s="23" r="O744">
        <v>0.011</v>
      </c>
      <c s="7" r="P744"/>
      <c s="7" r="Q744"/>
      <c s="7" r="R744">
        <f>IF((P744&gt;0),O744,0)</f>
        <v>0</v>
      </c>
      <c t="str" r="S744">
        <f>CONCATENATE(F744,E744)</f>
        <v>NON FTLNON FTL</v>
      </c>
    </row>
    <row r="745">
      <c t="s" s="7" r="A745">
        <v>201</v>
      </c>
      <c s="7" r="B745">
        <v>772</v>
      </c>
      <c s="30" r="C745">
        <v>13</v>
      </c>
      <c t="s" s="30" r="D745">
        <v>136</v>
      </c>
      <c t="s" s="30" r="E745">
        <v>4</v>
      </c>
      <c t="s" s="30" r="F745">
        <v>4</v>
      </c>
      <c t="s" s="30" r="G745">
        <v>216</v>
      </c>
      <c t="str" s="12" r="H745">
        <f>HYPERLINK("http://sofifa.com/en/fifa13winter/player/148088-mauro-goicoechea","M. Goicoechea")</f>
        <v>M. Goicoechea</v>
      </c>
      <c s="30" r="I745">
        <v>70</v>
      </c>
      <c t="s" s="30" r="J745">
        <v>106</v>
      </c>
      <c t="s" s="30" r="K745">
        <v>167</v>
      </c>
      <c t="s" s="30" r="L745">
        <v>183</v>
      </c>
      <c s="30" r="M745">
        <v>24</v>
      </c>
      <c s="26" r="N745">
        <v>1.6</v>
      </c>
      <c s="23" r="O745">
        <v>0.007</v>
      </c>
      <c s="7" r="P745"/>
      <c s="7" r="Q745"/>
      <c s="7" r="R745">
        <f>IF((P745&gt;0),O745,0)</f>
        <v>0</v>
      </c>
      <c t="str" r="S745">
        <f>CONCATENATE(F745,E745)</f>
        <v>NON FTLNON FTL</v>
      </c>
    </row>
    <row r="746">
      <c t="s" s="7" r="A746">
        <v>201</v>
      </c>
      <c s="7" r="B746">
        <v>773</v>
      </c>
      <c s="30" r="C746">
        <v>55</v>
      </c>
      <c t="s" s="30" r="D746">
        <v>147</v>
      </c>
      <c t="s" s="30" r="E746">
        <v>4</v>
      </c>
      <c t="s" s="30" r="F746">
        <v>4</v>
      </c>
      <c t="s" s="30" r="G746">
        <v>216</v>
      </c>
      <c t="str" s="12" r="H746">
        <f>HYPERLINK("http://sofifa.com/en/fifa13winter/player/150368-tomas-svedkauskas","T. Svedkauskas")</f>
        <v>T. Svedkauskas</v>
      </c>
      <c s="30" r="I746">
        <v>59</v>
      </c>
      <c t="s" s="30" r="J746">
        <v>106</v>
      </c>
      <c t="s" s="30" r="K746">
        <v>132</v>
      </c>
      <c t="s" s="30" r="L746">
        <v>153</v>
      </c>
      <c s="30" r="M746">
        <v>18</v>
      </c>
      <c s="26" r="N746">
        <v>0.4</v>
      </c>
      <c s="23" r="O746">
        <v>0.002</v>
      </c>
      <c s="7" r="P746"/>
      <c s="7" r="Q746"/>
      <c s="7" r="R746">
        <f>IF((P746&gt;0),O746,0)</f>
        <v>0</v>
      </c>
      <c t="str" r="S746">
        <f>CONCATENATE(F746,E746)</f>
        <v>NON FTLNON FTL</v>
      </c>
    </row>
    <row r="747">
      <c t="s" s="7" r="A747">
        <v>201</v>
      </c>
      <c s="7" r="B747">
        <v>774</v>
      </c>
      <c s="30" r="C747">
        <v>47</v>
      </c>
      <c t="s" s="30" r="D747">
        <v>147</v>
      </c>
      <c t="s" s="30" r="E747">
        <v>4</v>
      </c>
      <c t="s" s="30" r="F747">
        <v>4</v>
      </c>
      <c t="s" s="30" r="G747">
        <v>216</v>
      </c>
      <c t="str" s="12" r="H747">
        <f>HYPERLINK("http://sofifa.com/en/fifa13winter/player/150346-jonatan-lucca","J. Lucca")</f>
        <v>J. Lucca</v>
      </c>
      <c s="30" r="I747">
        <v>62</v>
      </c>
      <c t="s" s="30" r="J747">
        <v>154</v>
      </c>
      <c t="s" s="30" r="K747">
        <v>173</v>
      </c>
      <c t="s" s="30" r="L747">
        <v>137</v>
      </c>
      <c s="30" r="M747">
        <v>18</v>
      </c>
      <c s="26" r="N747">
        <v>0.7</v>
      </c>
      <c s="23" r="O747">
        <v>0.003</v>
      </c>
      <c s="7" r="P747"/>
      <c s="7" r="Q747"/>
      <c s="7" r="R747">
        <f>IF((P747&gt;0),O747,0)</f>
        <v>0</v>
      </c>
      <c t="str" r="S747">
        <f>CONCATENATE(F747,E747)</f>
        <v>NON FTLNON FTL</v>
      </c>
    </row>
    <row r="748">
      <c t="s" s="7" r="A748">
        <v>201</v>
      </c>
      <c s="7" r="B748">
        <v>775</v>
      </c>
      <c s="30" r="C748">
        <v>35</v>
      </c>
      <c t="s" s="30" r="D748">
        <v>106</v>
      </c>
      <c t="s" s="30" r="E748">
        <v>4</v>
      </c>
      <c t="s" s="30" r="F748">
        <v>4</v>
      </c>
      <c t="s" s="30" r="G748">
        <v>217</v>
      </c>
      <c t="str" s="12" r="H748">
        <f>HYPERLINK("http://sofifa.com/en/fifa13winter/player/147369-igor-akinfeev","I. Akinfeev")</f>
        <v>I. Akinfeev</v>
      </c>
      <c s="30" r="I748">
        <v>83</v>
      </c>
      <c t="s" s="30" r="J748">
        <v>106</v>
      </c>
      <c t="s" s="30" r="K748">
        <v>173</v>
      </c>
      <c t="s" s="30" r="L748">
        <v>161</v>
      </c>
      <c s="30" r="M748">
        <v>26</v>
      </c>
      <c s="26" r="N748">
        <v>12.7</v>
      </c>
      <c s="23" r="O748">
        <v>0.068</v>
      </c>
      <c s="7" r="P748"/>
      <c s="7" r="Q748"/>
      <c s="7" r="R748">
        <f>IF((P748&gt;0),O748,0)</f>
        <v>0</v>
      </c>
      <c t="str" r="S748">
        <f>CONCATENATE(F748,E748)</f>
        <v>NON FTLNON FTL</v>
      </c>
    </row>
    <row r="749">
      <c t="s" s="7" r="A749">
        <v>201</v>
      </c>
      <c s="7" r="B749">
        <v>776</v>
      </c>
      <c s="30" r="C749">
        <v>2</v>
      </c>
      <c t="s" s="30" r="D749">
        <v>109</v>
      </c>
      <c t="s" s="30" r="E749">
        <v>4</v>
      </c>
      <c t="s" s="30" r="F749">
        <v>4</v>
      </c>
      <c t="s" s="30" r="G749">
        <v>217</v>
      </c>
      <c t="str" s="12" r="H749">
        <f>HYPERLINK("http://sofifa.com/en/fifa13winter/player/148994-mario-figueira-fernandes","Mário Fernandes")</f>
        <v>Mário Fernandes</v>
      </c>
      <c s="30" r="I749">
        <v>74</v>
      </c>
      <c t="s" s="30" r="J749">
        <v>109</v>
      </c>
      <c t="s" s="30" r="K749">
        <v>155</v>
      </c>
      <c t="s" s="30" r="L749">
        <v>138</v>
      </c>
      <c s="30" r="M749">
        <v>21</v>
      </c>
      <c s="26" r="N749">
        <v>3.5</v>
      </c>
      <c s="23" r="O749">
        <v>0.009</v>
      </c>
      <c s="7" r="P749"/>
      <c s="7" r="Q749"/>
      <c s="7" r="R749">
        <f>IF((P749&gt;0),O749,0)</f>
        <v>0</v>
      </c>
      <c t="str" r="S749">
        <f>CONCATENATE(F749,E749)</f>
        <v>NON FTLNON FTL</v>
      </c>
    </row>
    <row r="750">
      <c t="s" s="7" r="A750">
        <v>201</v>
      </c>
      <c s="7" r="B750">
        <v>777</v>
      </c>
      <c s="30" r="C750">
        <v>24</v>
      </c>
      <c t="s" s="30" r="D750">
        <v>112</v>
      </c>
      <c t="s" s="30" r="E750">
        <v>4</v>
      </c>
      <c t="s" s="30" r="F750">
        <v>4</v>
      </c>
      <c t="s" s="30" r="G750">
        <v>217</v>
      </c>
      <c t="str" s="12" r="H750">
        <f>HYPERLINK("http://sofifa.com/en/fifa13winter/player/145981-vasiliy-berezutskiy","V. Berezutskiy")</f>
        <v>V. Berezutskiy</v>
      </c>
      <c s="30" r="I750">
        <v>76</v>
      </c>
      <c t="s" s="30" r="J750">
        <v>113</v>
      </c>
      <c t="s" s="30" r="K750">
        <v>169</v>
      </c>
      <c t="s" s="30" r="L750">
        <v>108</v>
      </c>
      <c s="30" r="M750">
        <v>30</v>
      </c>
      <c s="26" r="N750">
        <v>4.1</v>
      </c>
      <c s="23" r="O750">
        <v>0.017</v>
      </c>
      <c s="7" r="P750"/>
      <c s="7" r="Q750"/>
      <c s="7" r="R750">
        <f>IF((P750&gt;0),O750,0)</f>
        <v>0</v>
      </c>
      <c t="str" r="S750">
        <f>CONCATENATE(F750,E750)</f>
        <v>NON FTLNON FTL</v>
      </c>
    </row>
    <row r="751">
      <c t="s" s="7" r="A751">
        <v>201</v>
      </c>
      <c s="7" r="B751">
        <v>778</v>
      </c>
      <c s="30" r="C751">
        <v>4</v>
      </c>
      <c t="s" s="30" r="D751">
        <v>116</v>
      </c>
      <c t="s" s="30" r="E751">
        <v>4</v>
      </c>
      <c t="s" s="30" r="F751">
        <v>4</v>
      </c>
      <c t="s" s="30" r="G751">
        <v>217</v>
      </c>
      <c t="str" s="12" r="H751">
        <f>HYPERLINK("http://sofifa.com/en/fifa13winter/player/144909-sergey-ignashevich","S. Ignashevich")</f>
        <v>S. Ignashevich</v>
      </c>
      <c s="30" r="I751">
        <v>77</v>
      </c>
      <c t="s" s="30" r="J751">
        <v>113</v>
      </c>
      <c t="s" s="30" r="K751">
        <v>173</v>
      </c>
      <c t="s" s="30" r="L751">
        <v>193</v>
      </c>
      <c s="30" r="M751">
        <v>33</v>
      </c>
      <c s="26" r="N751">
        <v>3.9</v>
      </c>
      <c s="23" r="O751">
        <v>0.021</v>
      </c>
      <c s="7" r="P751"/>
      <c s="7" r="Q751"/>
      <c s="7" r="R751">
        <f>IF((P751&gt;0),O751,0)</f>
        <v>0</v>
      </c>
      <c t="str" r="S751">
        <f>CONCATENATE(F751,E751)</f>
        <v>NON FTLNON FTL</v>
      </c>
    </row>
    <row r="752">
      <c t="s" s="7" r="A752">
        <v>201</v>
      </c>
      <c s="7" r="B752">
        <v>779</v>
      </c>
      <c s="30" r="C752">
        <v>42</v>
      </c>
      <c t="s" s="30" r="D752">
        <v>117</v>
      </c>
      <c t="s" s="30" r="E752">
        <v>4</v>
      </c>
      <c t="s" s="30" r="F752">
        <v>4</v>
      </c>
      <c t="s" s="30" r="G752">
        <v>217</v>
      </c>
      <c t="str" s="12" r="H752">
        <f>HYPERLINK("http://sofifa.com/en/fifa13winter/player/149214-georgiy-schennikov","G. Schennikov")</f>
        <v>G. Schennikov</v>
      </c>
      <c s="30" r="I752">
        <v>73</v>
      </c>
      <c t="s" s="30" r="J752">
        <v>117</v>
      </c>
      <c t="s" s="30" r="K752">
        <v>118</v>
      </c>
      <c t="s" s="30" r="L752">
        <v>111</v>
      </c>
      <c s="30" r="M752">
        <v>21</v>
      </c>
      <c s="26" r="N752">
        <v>3.1</v>
      </c>
      <c s="23" r="O752">
        <v>0.009</v>
      </c>
      <c s="7" r="P752"/>
      <c s="7" r="Q752"/>
      <c s="7" r="R752">
        <f>IF((P752&gt;0),O752,0)</f>
        <v>0</v>
      </c>
      <c t="str" r="S752">
        <f>CONCATENATE(F752,E752)</f>
        <v>NON FTLNON FTL</v>
      </c>
    </row>
    <row r="753">
      <c t="s" s="7" r="A753">
        <v>201</v>
      </c>
      <c s="7" r="B753">
        <v>780</v>
      </c>
      <c s="30" r="C753">
        <v>3</v>
      </c>
      <c t="s" s="30" r="D753">
        <v>186</v>
      </c>
      <c t="s" s="30" r="E753">
        <v>4</v>
      </c>
      <c t="s" s="30" r="F753">
        <v>4</v>
      </c>
      <c t="s" s="30" r="G753">
        <v>217</v>
      </c>
      <c t="str" s="12" r="H753">
        <f>HYPERLINK("http://sofifa.com/en/fifa13winter/player/147447-pontus-wernbloom","P. Wernbloom")</f>
        <v>P. Wernbloom</v>
      </c>
      <c s="30" r="I753">
        <v>74</v>
      </c>
      <c t="s" s="30" r="J753">
        <v>154</v>
      </c>
      <c t="s" s="30" r="K753">
        <v>155</v>
      </c>
      <c t="s" s="30" r="L753">
        <v>179</v>
      </c>
      <c s="30" r="M753">
        <v>26</v>
      </c>
      <c s="26" r="N753">
        <v>3.4</v>
      </c>
      <c s="23" r="O753">
        <v>0.011</v>
      </c>
      <c s="7" r="P753"/>
      <c s="7" r="Q753"/>
      <c s="7" r="R753">
        <f>IF((P753&gt;0),O753,0)</f>
        <v>0</v>
      </c>
      <c t="str" r="S753">
        <f>CONCATENATE(F753,E753)</f>
        <v>NON FTLNON FTL</v>
      </c>
    </row>
    <row r="754">
      <c t="s" s="7" r="A754">
        <v>201</v>
      </c>
      <c s="7" r="B754">
        <v>781</v>
      </c>
      <c s="30" r="C754">
        <v>20</v>
      </c>
      <c t="s" s="30" r="D754">
        <v>174</v>
      </c>
      <c t="s" s="30" r="E754">
        <v>4</v>
      </c>
      <c t="s" s="30" r="F754">
        <v>4</v>
      </c>
      <c t="s" s="30" r="G754">
        <v>217</v>
      </c>
      <c t="str" s="12" r="H754">
        <f>HYPERLINK("http://sofifa.com/en/fifa13winter/player/148078-rasmus-elm","R. Elm")</f>
        <v>R. Elm</v>
      </c>
      <c s="30" r="I754">
        <v>78</v>
      </c>
      <c t="s" s="30" r="J754">
        <v>154</v>
      </c>
      <c t="s" s="30" r="K754">
        <v>167</v>
      </c>
      <c t="s" s="30" r="L754">
        <v>151</v>
      </c>
      <c s="30" r="M754">
        <v>24</v>
      </c>
      <c s="26" r="N754">
        <v>6.6</v>
      </c>
      <c s="23" r="O754">
        <v>0.019</v>
      </c>
      <c s="7" r="P754"/>
      <c s="7" r="Q754"/>
      <c s="7" r="R754">
        <f>IF((P754&gt;0),O754,0)</f>
        <v>0</v>
      </c>
      <c t="str" r="S754">
        <f>CONCATENATE(F754,E754)</f>
        <v>NON FTLNON FTL</v>
      </c>
    </row>
    <row r="755">
      <c t="s" s="7" r="A755">
        <v>201</v>
      </c>
      <c s="7" r="B755">
        <v>782</v>
      </c>
      <c s="30" r="C755">
        <v>21</v>
      </c>
      <c t="s" s="30" r="D755">
        <v>120</v>
      </c>
      <c t="s" s="30" r="E755">
        <v>4</v>
      </c>
      <c t="s" s="30" r="F755">
        <v>4</v>
      </c>
      <c t="s" s="30" r="G755">
        <v>217</v>
      </c>
      <c t="str" s="12" r="H755">
        <f>HYPERLINK("http://sofifa.com/en/fifa13winter/player/147754-zoran-tosic","Z. Tošić")</f>
        <v>Z. Tošić</v>
      </c>
      <c s="30" r="I755">
        <v>77</v>
      </c>
      <c t="s" s="30" r="J755">
        <v>120</v>
      </c>
      <c t="s" s="30" r="K755">
        <v>195</v>
      </c>
      <c t="s" s="30" r="L755">
        <v>115</v>
      </c>
      <c s="30" r="M755">
        <v>25</v>
      </c>
      <c s="26" r="N755">
        <v>6.4</v>
      </c>
      <c s="23" r="O755">
        <v>0.017</v>
      </c>
      <c s="7" r="P755"/>
      <c s="7" r="Q755"/>
      <c s="7" r="R755">
        <f>IF((P755&gt;0),O755,0)</f>
        <v>0</v>
      </c>
      <c t="str" r="S755">
        <f>CONCATENATE(F755,E755)</f>
        <v>NON FTLNON FTL</v>
      </c>
    </row>
    <row r="756">
      <c t="s" s="7" r="A756">
        <v>201</v>
      </c>
      <c s="7" r="B756">
        <v>783</v>
      </c>
      <c s="30" r="C756">
        <v>10</v>
      </c>
      <c t="s" s="30" r="D756">
        <v>128</v>
      </c>
      <c t="s" s="30" r="E756">
        <v>4</v>
      </c>
      <c t="s" s="30" r="F756">
        <v>4</v>
      </c>
      <c t="s" s="30" r="G756">
        <v>217</v>
      </c>
      <c t="str" s="12" r="H756">
        <f>HYPERLINK("http://sofifa.com/en/fifa13winter/player/148900-alan-dzagoev","A. Dzagoev")</f>
        <v>A. Dzagoev</v>
      </c>
      <c s="30" r="I756">
        <v>79</v>
      </c>
      <c t="s" s="30" r="J756">
        <v>128</v>
      </c>
      <c t="s" s="30" r="K756">
        <v>145</v>
      </c>
      <c t="s" s="30" r="L756">
        <v>122</v>
      </c>
      <c s="30" r="M756">
        <v>22</v>
      </c>
      <c s="26" r="N756">
        <v>8.5</v>
      </c>
      <c s="23" r="O756">
        <v>0.02</v>
      </c>
      <c s="7" r="P756"/>
      <c s="7" r="Q756"/>
      <c s="7" r="R756">
        <f>IF((P756&gt;0),O756,0)</f>
        <v>0</v>
      </c>
      <c t="str" r="S756">
        <f>CONCATENATE(F756,E756)</f>
        <v>NON FTLNON FTL</v>
      </c>
    </row>
    <row r="757">
      <c t="s" s="7" r="A757">
        <v>201</v>
      </c>
      <c s="7" r="B757">
        <v>784</v>
      </c>
      <c s="30" r="C757">
        <v>9</v>
      </c>
      <c t="s" s="30" r="D757">
        <v>162</v>
      </c>
      <c t="s" s="30" r="E757">
        <v>4</v>
      </c>
      <c t="s" s="30" r="F757">
        <v>4</v>
      </c>
      <c t="s" s="30" r="G757">
        <v>217</v>
      </c>
      <c t="str" s="12" r="H757">
        <f>HYPERLINK("http://sofifa.com/en/fifa13winter/player/146703-vagner-silva-de-souza","Vágner Love")</f>
        <v>Vágner Love</v>
      </c>
      <c s="30" r="I757">
        <v>81</v>
      </c>
      <c t="s" s="30" r="J757">
        <v>129</v>
      </c>
      <c t="s" s="30" r="K757">
        <v>187</v>
      </c>
      <c t="s" s="30" r="L757">
        <v>146</v>
      </c>
      <c s="30" r="M757">
        <v>28</v>
      </c>
      <c s="26" r="N757">
        <v>13.1</v>
      </c>
      <c s="23" r="O757">
        <v>0.042</v>
      </c>
      <c s="7" r="P757"/>
      <c s="7" r="Q757"/>
      <c s="7" r="R757">
        <f>IF((P757&gt;0),O757,0)</f>
        <v>0</v>
      </c>
      <c t="str" r="S757">
        <f>CONCATENATE(F757,E757)</f>
        <v>NON FTLNON FTL</v>
      </c>
    </row>
    <row r="758">
      <c t="s" s="7" r="A758">
        <v>201</v>
      </c>
      <c s="7" r="B758">
        <v>785</v>
      </c>
      <c s="30" r="C758">
        <v>18</v>
      </c>
      <c t="s" s="30" r="D758">
        <v>129</v>
      </c>
      <c t="s" s="30" r="E758">
        <v>4</v>
      </c>
      <c t="s" s="30" r="F758">
        <v>4</v>
      </c>
      <c t="s" s="30" r="G758">
        <v>217</v>
      </c>
      <c t="str" s="12" r="H758">
        <f>HYPERLINK("http://sofifa.com/en/fifa13winter/player/149750-ahmed-musa","A. Musa")</f>
        <v>A. Musa</v>
      </c>
      <c s="30" r="I758">
        <v>74</v>
      </c>
      <c t="s" s="30" r="J758">
        <v>129</v>
      </c>
      <c t="s" s="30" r="K758">
        <v>121</v>
      </c>
      <c t="s" s="30" r="L758">
        <v>164</v>
      </c>
      <c s="30" r="M758">
        <v>19</v>
      </c>
      <c s="26" r="N758">
        <v>5.3</v>
      </c>
      <c s="23" r="O758">
        <v>0.009</v>
      </c>
      <c s="7" r="P758"/>
      <c s="7" r="Q758"/>
      <c s="7" r="R758">
        <f>IF((P758&gt;0),O758,0)</f>
        <v>0</v>
      </c>
      <c t="str" r="S758">
        <f>CONCATENATE(F758,E758)</f>
        <v>NON FTLNON FTL</v>
      </c>
    </row>
    <row r="759">
      <c t="s" s="7" r="A759">
        <v>201</v>
      </c>
      <c s="7" r="B759">
        <v>786</v>
      </c>
      <c s="30" r="C759">
        <v>71</v>
      </c>
      <c t="s" s="30" r="D759">
        <v>136</v>
      </c>
      <c t="s" s="30" r="E759">
        <v>4</v>
      </c>
      <c t="s" s="30" r="F759">
        <v>4</v>
      </c>
      <c t="s" s="30" r="G759">
        <v>217</v>
      </c>
      <c t="str" s="12" r="H759">
        <f>HYPERLINK("http://sofifa.com/en/fifa13winter/player/149930-konstantin-bazelyuk","K. Bazelyuk")</f>
        <v>K. Bazelyuk</v>
      </c>
      <c s="30" r="I759">
        <v>57</v>
      </c>
      <c t="s" s="30" r="J759">
        <v>129</v>
      </c>
      <c t="s" s="30" r="K759">
        <v>155</v>
      </c>
      <c t="s" s="30" r="L759">
        <v>161</v>
      </c>
      <c s="30" r="M759">
        <v>19</v>
      </c>
      <c s="26" r="N759">
        <v>0.3</v>
      </c>
      <c s="23" r="O759">
        <v>0.002</v>
      </c>
      <c s="7" r="P759"/>
      <c s="7" r="Q759"/>
      <c s="7" r="R759">
        <f>IF((P759&gt;0),O759,0)</f>
        <v>0</v>
      </c>
      <c t="str" r="S759">
        <f>CONCATENATE(F759,E759)</f>
        <v>NON FTLNON FTL</v>
      </c>
    </row>
    <row r="760">
      <c t="s" s="7" r="A760">
        <v>201</v>
      </c>
      <c s="7" r="B760">
        <v>787</v>
      </c>
      <c s="30" r="C760">
        <v>88</v>
      </c>
      <c t="s" s="30" r="D760">
        <v>136</v>
      </c>
      <c t="s" s="30" r="E760">
        <v>4</v>
      </c>
      <c t="s" s="30" r="F760">
        <v>4</v>
      </c>
      <c t="s" s="30" r="G760">
        <v>217</v>
      </c>
      <c t="str" s="12" r="H760">
        <f>HYPERLINK("http://sofifa.com/en/fifa13winter/player/148001-seydou-doumbia","S. Doumbia")</f>
        <v>S. Doumbia</v>
      </c>
      <c s="30" r="I760">
        <v>81</v>
      </c>
      <c t="s" s="30" r="J760">
        <v>129</v>
      </c>
      <c t="s" s="30" r="K760">
        <v>118</v>
      </c>
      <c t="s" s="30" r="L760">
        <v>160</v>
      </c>
      <c s="30" r="M760">
        <v>24</v>
      </c>
      <c s="26" r="N760">
        <v>16.6</v>
      </c>
      <c s="23" r="O760">
        <v>0.04</v>
      </c>
      <c s="7" r="P760"/>
      <c s="7" r="Q760"/>
      <c s="7" r="R760">
        <f>IF((P760&gt;0),O760,0)</f>
        <v>0</v>
      </c>
      <c t="str" r="S760">
        <f>CONCATENATE(F760,E760)</f>
        <v>NON FTLNON FTL</v>
      </c>
    </row>
    <row r="761">
      <c t="s" s="7" r="A761">
        <v>201</v>
      </c>
      <c s="7" r="B761">
        <v>788</v>
      </c>
      <c s="30" r="C761">
        <v>17</v>
      </c>
      <c t="s" s="30" r="D761">
        <v>136</v>
      </c>
      <c t="s" s="30" r="E761">
        <v>4</v>
      </c>
      <c t="s" s="30" r="F761">
        <v>4</v>
      </c>
      <c t="s" s="30" r="G761">
        <v>217</v>
      </c>
      <c t="str" s="12" r="H761">
        <f>HYPERLINK("http://sofifa.com/en/fifa13winter/player/148262-pavel-mamaev","P. Mamaev")</f>
        <v>P. Mamaev</v>
      </c>
      <c s="30" r="I761">
        <v>74</v>
      </c>
      <c t="s" s="30" r="J761">
        <v>124</v>
      </c>
      <c t="s" s="30" r="K761">
        <v>118</v>
      </c>
      <c t="s" s="30" r="L761">
        <v>122</v>
      </c>
      <c s="30" r="M761">
        <v>23</v>
      </c>
      <c s="26" r="N761">
        <v>3.5</v>
      </c>
      <c s="23" r="O761">
        <v>0.01</v>
      </c>
      <c s="7" r="P761"/>
      <c s="7" r="Q761"/>
      <c s="7" r="R761">
        <f>IF((P761&gt;0),O761,0)</f>
        <v>0</v>
      </c>
      <c t="str" r="S761">
        <f>CONCATENATE(F761,E761)</f>
        <v>NON FTLNON FTL</v>
      </c>
    </row>
    <row r="762">
      <c t="s" s="7" r="A762">
        <v>201</v>
      </c>
      <c s="7" r="B762">
        <v>789</v>
      </c>
      <c s="30" r="C762">
        <v>1</v>
      </c>
      <c t="s" s="30" r="D762">
        <v>136</v>
      </c>
      <c t="s" s="30" r="E762">
        <v>4</v>
      </c>
      <c t="s" s="30" r="F762">
        <v>4</v>
      </c>
      <c t="s" s="30" r="G762">
        <v>217</v>
      </c>
      <c t="str" s="12" r="H762">
        <f>HYPERLINK("http://sofifa.com/en/fifa13winter/player/147102-sergey-chepchugov","S. Chepchugov")</f>
        <v>S. Chepchugov</v>
      </c>
      <c s="30" r="I762">
        <v>68</v>
      </c>
      <c t="s" s="30" r="J762">
        <v>106</v>
      </c>
      <c t="s" s="30" r="K762">
        <v>173</v>
      </c>
      <c t="s" s="30" r="L762">
        <v>193</v>
      </c>
      <c s="30" r="M762">
        <v>27</v>
      </c>
      <c s="26" r="N762">
        <v>1.2</v>
      </c>
      <c s="23" r="O762">
        <v>0.006</v>
      </c>
      <c s="7" r="P762"/>
      <c s="7" r="Q762"/>
      <c s="7" r="R762">
        <f>IF((P762&gt;0),O762,0)</f>
        <v>0</v>
      </c>
      <c t="str" r="S762">
        <f>CONCATENATE(F762,E762)</f>
        <v>NON FTLNON FTL</v>
      </c>
    </row>
    <row r="763">
      <c t="s" s="7" r="A763">
        <v>201</v>
      </c>
      <c s="7" r="B763">
        <v>790</v>
      </c>
      <c s="30" r="C763">
        <v>7</v>
      </c>
      <c t="s" s="30" r="D763">
        <v>136</v>
      </c>
      <c t="s" s="30" r="E763">
        <v>4</v>
      </c>
      <c t="s" s="30" r="F763">
        <v>4</v>
      </c>
      <c t="s" s="30" r="G763">
        <v>217</v>
      </c>
      <c t="str" s="12" r="H763">
        <f>HYPERLINK("http://sofifa.com/en/fifa13winter/player/147435-keisuke-honda","K. Honda")</f>
        <v>K. Honda</v>
      </c>
      <c s="30" r="I763">
        <v>81</v>
      </c>
      <c t="s" s="30" r="J763">
        <v>162</v>
      </c>
      <c t="s" s="30" r="K763">
        <v>143</v>
      </c>
      <c t="s" s="30" r="L763">
        <v>137</v>
      </c>
      <c s="30" r="M763">
        <v>26</v>
      </c>
      <c s="26" r="N763">
        <v>14</v>
      </c>
      <c s="23" r="O763">
        <v>0.04</v>
      </c>
      <c s="7" r="P763"/>
      <c s="7" r="Q763"/>
      <c s="7" r="R763">
        <f>IF((P763&gt;0),O763,0)</f>
        <v>0</v>
      </c>
      <c t="str" r="S763">
        <f>CONCATENATE(F763,E763)</f>
        <v>NON FTLNON FTL</v>
      </c>
    </row>
    <row r="764">
      <c t="s" s="7" r="A764">
        <v>201</v>
      </c>
      <c s="7" r="B764">
        <v>791</v>
      </c>
      <c s="30" r="C764">
        <v>89</v>
      </c>
      <c t="s" s="30" r="D764">
        <v>136</v>
      </c>
      <c t="s" s="30" r="E764">
        <v>4</v>
      </c>
      <c t="s" s="30" r="F764">
        <v>4</v>
      </c>
      <c t="s" s="30" r="G764">
        <v>217</v>
      </c>
      <c t="str" s="12" r="H764">
        <f>HYPERLINK("http://sofifa.com/en/fifa13winter/player/148592-tomas-necid","T. Necid")</f>
        <v>T. Necid</v>
      </c>
      <c s="30" r="I764">
        <v>75</v>
      </c>
      <c t="s" s="30" r="J764">
        <v>129</v>
      </c>
      <c t="s" s="30" r="K764">
        <v>152</v>
      </c>
      <c t="s" s="30" r="L764">
        <v>183</v>
      </c>
      <c s="30" r="M764">
        <v>23</v>
      </c>
      <c s="26" r="N764">
        <v>5.2</v>
      </c>
      <c s="23" r="O764">
        <v>0.012</v>
      </c>
      <c s="7" r="P764"/>
      <c s="7" r="Q764"/>
      <c s="7" r="R764">
        <f>IF((P764&gt;0),O764,0)</f>
        <v>0</v>
      </c>
      <c t="str" r="S764">
        <f>CONCATENATE(F764,E764)</f>
        <v>NON FTLNON FTL</v>
      </c>
    </row>
    <row r="765">
      <c t="s" s="7" r="A765">
        <v>201</v>
      </c>
      <c s="7" r="B765">
        <v>792</v>
      </c>
      <c s="30" r="C765">
        <v>19</v>
      </c>
      <c t="s" s="30" r="D765">
        <v>136</v>
      </c>
      <c t="s" s="30" r="E765">
        <v>4</v>
      </c>
      <c t="s" s="30" r="F765">
        <v>4</v>
      </c>
      <c t="s" s="30" r="G765">
        <v>217</v>
      </c>
      <c t="str" s="12" r="H765">
        <f>HYPERLINK("http://sofifa.com/en/fifa13winter/player/148020-aleksandrs-cauna","A. Cauņa")</f>
        <v>A. Cauņa</v>
      </c>
      <c s="30" r="I765">
        <v>68</v>
      </c>
      <c t="s" s="30" r="J765">
        <v>124</v>
      </c>
      <c t="s" s="30" r="K765">
        <v>182</v>
      </c>
      <c t="s" s="30" r="L765">
        <v>125</v>
      </c>
      <c s="30" r="M765">
        <v>24</v>
      </c>
      <c s="26" r="N765">
        <v>1.6</v>
      </c>
      <c s="23" r="O765">
        <v>0.006</v>
      </c>
      <c s="7" r="P765"/>
      <c s="7" r="Q765"/>
      <c s="7" r="R765">
        <f>IF((P765&gt;0),O765,0)</f>
        <v>0</v>
      </c>
      <c t="str" r="S765">
        <f>CONCATENATE(F765,E765)</f>
        <v>NON FTLNON FTL</v>
      </c>
    </row>
    <row r="766">
      <c t="s" s="7" r="A766">
        <v>201</v>
      </c>
      <c s="7" r="B766">
        <v>793</v>
      </c>
      <c s="30" r="C766">
        <v>14</v>
      </c>
      <c t="s" s="30" r="D766">
        <v>136</v>
      </c>
      <c t="s" s="30" r="E766">
        <v>4</v>
      </c>
      <c t="s" s="30" r="F766">
        <v>4</v>
      </c>
      <c t="s" s="30" r="G766">
        <v>217</v>
      </c>
      <c t="str" s="12" r="H766">
        <f>HYPERLINK("http://sofifa.com/en/fifa13winter/player/147522-kirill-nababkin","K. Nababkin")</f>
        <v>K. Nababkin</v>
      </c>
      <c s="30" r="I766">
        <v>69</v>
      </c>
      <c t="s" s="30" r="J766">
        <v>117</v>
      </c>
      <c t="s" s="30" r="K766">
        <v>167</v>
      </c>
      <c t="s" s="30" r="L766">
        <v>160</v>
      </c>
      <c s="30" r="M766">
        <v>25</v>
      </c>
      <c s="26" r="N766">
        <v>1.6</v>
      </c>
      <c s="23" r="O766">
        <v>0.007</v>
      </c>
      <c s="7" r="P766"/>
      <c s="7" r="Q766"/>
      <c s="7" r="R766">
        <f>IF((P766&gt;0),O766,0)</f>
        <v>0</v>
      </c>
      <c t="str" r="S766">
        <f>CONCATENATE(F766,E766)</f>
        <v>NON FTLNON FTL</v>
      </c>
    </row>
    <row r="767">
      <c t="s" s="7" r="A767">
        <v>201</v>
      </c>
      <c s="7" r="B767">
        <v>794</v>
      </c>
      <c s="30" r="C767">
        <v>11</v>
      </c>
      <c t="s" s="30" r="D767">
        <v>136</v>
      </c>
      <c t="s" s="30" r="E767">
        <v>4</v>
      </c>
      <c t="s" s="30" r="F767">
        <v>4</v>
      </c>
      <c t="s" s="30" r="G767">
        <v>217</v>
      </c>
      <c t="str" s="12" r="H767">
        <f>HYPERLINK("http://sofifa.com/en/fifa13winter/player/146732-mark-gonzalez","M. González")</f>
        <v>M. González</v>
      </c>
      <c s="30" r="I767">
        <v>75</v>
      </c>
      <c t="s" s="30" r="J767">
        <v>128</v>
      </c>
      <c t="s" s="30" r="K767">
        <v>172</v>
      </c>
      <c t="s" s="30" r="L767">
        <v>160</v>
      </c>
      <c s="30" r="M767">
        <v>28</v>
      </c>
      <c s="26" r="N767">
        <v>4.8</v>
      </c>
      <c s="23" r="O767">
        <v>0.013</v>
      </c>
      <c s="7" r="P767"/>
      <c s="7" r="Q767"/>
      <c s="7" r="R767">
        <f>IF((P767&gt;0),O767,0)</f>
        <v>0</v>
      </c>
      <c t="str" r="S767">
        <f>CONCATENATE(F767,E767)</f>
        <v>NON FTLNON FTL</v>
      </c>
    </row>
    <row r="768">
      <c t="s" s="7" r="A768">
        <v>201</v>
      </c>
      <c s="7" r="B768">
        <v>795</v>
      </c>
      <c s="30" r="C768">
        <v>25</v>
      </c>
      <c t="s" s="30" r="D768">
        <v>136</v>
      </c>
      <c t="s" s="30" r="E768">
        <v>4</v>
      </c>
      <c t="s" s="30" r="F768">
        <v>4</v>
      </c>
      <c t="s" s="30" r="G768">
        <v>217</v>
      </c>
      <c t="str" s="12" r="H768">
        <f>HYPERLINK("http://sofifa.com/en/fifa13winter/player/143713-elvir-rahimic","E. Rahimić")</f>
        <v>E. Rahimić</v>
      </c>
      <c s="30" r="I768">
        <v>66</v>
      </c>
      <c t="s" s="30" r="J768">
        <v>154</v>
      </c>
      <c t="s" s="30" r="K768">
        <v>144</v>
      </c>
      <c t="s" s="30" r="L768">
        <v>153</v>
      </c>
      <c s="30" r="M768">
        <v>36</v>
      </c>
      <c s="26" r="N768">
        <v>0.6</v>
      </c>
      <c s="23" r="O768">
        <v>0.007</v>
      </c>
      <c s="7" r="P768"/>
      <c s="7" r="Q768"/>
      <c s="7" r="R768">
        <f>IF((P768&gt;0),O768,0)</f>
        <v>0</v>
      </c>
      <c t="str" r="S768">
        <f>CONCATENATE(F768,E768)</f>
        <v>NON FTLNON FTL</v>
      </c>
    </row>
    <row r="769">
      <c t="s" s="7" r="A769">
        <v>201</v>
      </c>
      <c s="7" r="B769">
        <v>796</v>
      </c>
      <c s="30" r="C769">
        <v>6</v>
      </c>
      <c t="s" s="30" r="D769">
        <v>136</v>
      </c>
      <c t="s" s="30" r="E769">
        <v>4</v>
      </c>
      <c t="s" s="30" r="F769">
        <v>4</v>
      </c>
      <c t="s" s="30" r="G769">
        <v>217</v>
      </c>
      <c t="str" s="12" r="H769">
        <f>HYPERLINK("http://sofifa.com/en/fifa13winter/player/145981-alexey-berezutskiy","A. Berezutskiy")</f>
        <v>A. Berezutskiy</v>
      </c>
      <c s="30" r="I769">
        <v>74</v>
      </c>
      <c t="s" s="30" r="J769">
        <v>113</v>
      </c>
      <c t="s" s="30" r="K769">
        <v>152</v>
      </c>
      <c t="s" s="30" r="L769">
        <v>193</v>
      </c>
      <c s="30" r="M769">
        <v>30</v>
      </c>
      <c s="26" r="N769">
        <v>2.8</v>
      </c>
      <c s="23" r="O769">
        <v>0.012</v>
      </c>
      <c s="7" r="P769"/>
      <c s="7" r="Q769"/>
      <c s="7" r="R769">
        <f>IF((P769&gt;0),O769,0)</f>
        <v>0</v>
      </c>
      <c t="str" r="S769">
        <f>CONCATENATE(F769,E769)</f>
        <v>NON FTLNON FTL</v>
      </c>
    </row>
    <row r="770">
      <c t="s" s="7" r="A770">
        <v>201</v>
      </c>
      <c s="7" r="B770">
        <v>797</v>
      </c>
      <c s="30" r="C770">
        <v>52</v>
      </c>
      <c t="s" s="30" r="D770">
        <v>136</v>
      </c>
      <c t="s" s="30" r="E770">
        <v>4</v>
      </c>
      <c t="s" s="30" r="F770">
        <v>4</v>
      </c>
      <c t="s" s="30" r="G770">
        <v>217</v>
      </c>
      <c t="str" s="12" r="H770">
        <f>HYPERLINK("http://sofifa.com/en/fifa13winter/player/149890-ravil-netfullin","R. Netfullin")</f>
        <v>R. Netfullin</v>
      </c>
      <c s="30" r="I770">
        <v>57</v>
      </c>
      <c t="s" s="30" r="J770">
        <v>124</v>
      </c>
      <c t="s" s="30" r="K770">
        <v>110</v>
      </c>
      <c t="s" s="30" r="L770">
        <v>151</v>
      </c>
      <c s="30" r="M770">
        <v>19</v>
      </c>
      <c s="26" r="N770">
        <v>0.2</v>
      </c>
      <c s="23" r="O770">
        <v>0.002</v>
      </c>
      <c s="7" r="P770"/>
      <c s="7" r="Q770"/>
      <c s="7" r="R770">
        <f>IF((P770&gt;0),O770,0)</f>
        <v>0</v>
      </c>
      <c t="str" r="S770">
        <f>CONCATENATE(F770,E770)</f>
        <v>NON FTLNON FTL</v>
      </c>
    </row>
    <row r="771">
      <c t="s" s="7" r="A771">
        <v>201</v>
      </c>
      <c s="7" r="B771">
        <v>798</v>
      </c>
      <c s="30" r="C771">
        <v>60</v>
      </c>
      <c t="s" s="30" r="D771">
        <v>147</v>
      </c>
      <c t="s" s="30" r="E771">
        <v>4</v>
      </c>
      <c t="s" s="30" r="F771">
        <v>4</v>
      </c>
      <c t="s" s="30" r="G771">
        <v>217</v>
      </c>
      <c t="str" s="12" r="H771">
        <f>HYPERLINK("http://sofifa.com/en/fifa13winter/player/150414-lionel-adams","L. Adams")</f>
        <v>L. Adams</v>
      </c>
      <c s="30" r="I771">
        <v>59</v>
      </c>
      <c t="s" s="30" r="J771">
        <v>113</v>
      </c>
      <c t="s" s="30" r="K771">
        <v>134</v>
      </c>
      <c t="s" s="30" r="L771">
        <v>175</v>
      </c>
      <c s="30" r="M771">
        <v>18</v>
      </c>
      <c s="26" r="N771">
        <v>0.4</v>
      </c>
      <c s="23" r="O771">
        <v>0.002</v>
      </c>
      <c s="7" r="P771"/>
      <c s="7" r="Q771"/>
      <c s="7" r="R771">
        <f>IF((P771&gt;0),O771,0)</f>
        <v>0</v>
      </c>
      <c t="str" r="S771">
        <f>CONCATENATE(F771,E771)</f>
        <v>NON FTLNON FTL</v>
      </c>
    </row>
    <row r="772">
      <c t="s" s="7" r="A772">
        <v>201</v>
      </c>
      <c s="7" r="B772">
        <v>799</v>
      </c>
      <c s="30" r="C772">
        <v>95</v>
      </c>
      <c t="s" s="30" r="D772">
        <v>147</v>
      </c>
      <c t="s" s="30" r="E772">
        <v>4</v>
      </c>
      <c t="s" s="30" r="F772">
        <v>4</v>
      </c>
      <c t="s" s="30" r="G772">
        <v>217</v>
      </c>
      <c t="str" s="12" r="H772">
        <f>HYPERLINK("http://sofifa.com/en/fifa13winter/player/150650-sergey-revyakin","S. Revyakin")</f>
        <v>S. Revyakin</v>
      </c>
      <c s="30" r="I772">
        <v>57</v>
      </c>
      <c t="s" s="30" r="J772">
        <v>106</v>
      </c>
      <c t="s" s="30" r="K772">
        <v>169</v>
      </c>
      <c t="s" s="30" r="L772">
        <v>156</v>
      </c>
      <c s="30" r="M772">
        <v>17</v>
      </c>
      <c s="26" r="N772">
        <v>0.2</v>
      </c>
      <c s="23" r="O772">
        <v>0.002</v>
      </c>
      <c s="7" r="P772"/>
      <c s="7" r="Q772"/>
      <c s="7" r="R772">
        <f>IF((P772&gt;0),O772,0)</f>
        <v>0</v>
      </c>
      <c t="str" r="S772">
        <f>CONCATENATE(F772,E772)</f>
        <v>NON FTLNON FTL</v>
      </c>
    </row>
    <row r="773">
      <c t="s" s="7" r="A773">
        <v>201</v>
      </c>
      <c s="7" r="B773">
        <v>800</v>
      </c>
      <c s="30" r="C773">
        <v>92</v>
      </c>
      <c t="s" s="30" r="D773">
        <v>147</v>
      </c>
      <c t="s" s="30" r="E773">
        <v>4</v>
      </c>
      <c t="s" s="30" r="F773">
        <v>4</v>
      </c>
      <c t="s" s="30" r="G773">
        <v>217</v>
      </c>
      <c t="str" s="12" r="H773">
        <f>HYPERLINK("http://sofifa.com/en/fifa13winter/player/149809-petr-ten","P. Ten")</f>
        <v>P. Ten</v>
      </c>
      <c s="30" r="I773">
        <v>54</v>
      </c>
      <c t="s" s="30" r="J773">
        <v>117</v>
      </c>
      <c t="s" s="30" r="K773">
        <v>139</v>
      </c>
      <c t="s" s="30" r="L773">
        <v>115</v>
      </c>
      <c s="30" r="M773">
        <v>19</v>
      </c>
      <c s="26" r="N773">
        <v>0.1</v>
      </c>
      <c s="23" r="O773">
        <v>0.002</v>
      </c>
      <c s="7" r="P773"/>
      <c s="7" r="Q773"/>
      <c s="7" r="R773">
        <f>IF((P773&gt;0),O773,0)</f>
        <v>0</v>
      </c>
      <c t="str" r="S773">
        <f>CONCATENATE(F773,E773)</f>
        <v>NON FTLNON FTL</v>
      </c>
    </row>
    <row r="774">
      <c t="s" s="7" r="A774">
        <v>201</v>
      </c>
      <c s="7" r="B774">
        <v>801</v>
      </c>
      <c s="30" r="C774">
        <v>5</v>
      </c>
      <c t="s" s="30" r="D774">
        <v>147</v>
      </c>
      <c t="s" s="30" r="E774">
        <v>4</v>
      </c>
      <c t="s" s="30" r="F774">
        <v>4</v>
      </c>
      <c t="s" s="30" r="G774">
        <v>217</v>
      </c>
      <c t="str" s="12" r="H774">
        <f>HYPERLINK("http://sofifa.com/en/fifa13winter/player/148281-viktor-vasin","V. Vasin")</f>
        <v>V. Vasin</v>
      </c>
      <c s="30" r="I774">
        <v>66</v>
      </c>
      <c t="s" s="30" r="J774">
        <v>113</v>
      </c>
      <c t="s" s="30" r="K774">
        <v>165</v>
      </c>
      <c t="s" s="30" r="L774">
        <v>156</v>
      </c>
      <c s="30" r="M774">
        <v>23</v>
      </c>
      <c s="26" r="N774">
        <v>1.2</v>
      </c>
      <c s="23" r="O774">
        <v>0.005</v>
      </c>
      <c s="7" r="P774"/>
      <c s="7" r="Q774"/>
      <c s="7" r="R774">
        <f>IF((P774&gt;0),O774,0)</f>
        <v>0</v>
      </c>
      <c t="str" r="S774">
        <f>CONCATENATE(F774,E774)</f>
        <v>NON FTLNON FTL</v>
      </c>
    </row>
    <row r="775">
      <c t="s" s="7" r="A775">
        <v>201</v>
      </c>
      <c s="7" r="B775">
        <v>802</v>
      </c>
      <c s="30" r="C775">
        <v>15</v>
      </c>
      <c t="s" s="30" r="D775">
        <v>147</v>
      </c>
      <c t="s" s="30" r="E775">
        <v>4</v>
      </c>
      <c t="s" s="30" r="F775">
        <v>4</v>
      </c>
      <c t="s" s="30" r="G775">
        <v>217</v>
      </c>
      <c t="str" s="12" r="H775">
        <f>HYPERLINK("http://sofifa.com/en/fifa13winter/player/150649-dmitriy-efremov","D. Efremov")</f>
        <v>D. Efremov</v>
      </c>
      <c s="30" r="I775">
        <v>59</v>
      </c>
      <c t="s" s="30" r="J775">
        <v>162</v>
      </c>
      <c t="s" s="30" r="K775">
        <v>114</v>
      </c>
      <c t="s" s="30" r="L775">
        <v>122</v>
      </c>
      <c s="30" r="M775">
        <v>17</v>
      </c>
      <c s="26" r="N775">
        <v>0.5</v>
      </c>
      <c s="23" r="O775">
        <v>0.002</v>
      </c>
      <c s="7" r="P775"/>
      <c s="7" r="Q775"/>
      <c s="7" r="R775">
        <f>IF((P775&gt;0),O775,0)</f>
        <v>0</v>
      </c>
      <c t="str" r="S775">
        <f>CONCATENATE(F775,E775)</f>
        <v>NON FTLNON FTL</v>
      </c>
    </row>
    <row r="776">
      <c t="s" s="7" r="A776">
        <v>201</v>
      </c>
      <c s="7" r="B776">
        <v>803</v>
      </c>
      <c s="30" r="C776">
        <v>1</v>
      </c>
      <c t="s" s="30" r="D776">
        <v>106</v>
      </c>
      <c t="s" s="30" r="E776">
        <v>4</v>
      </c>
      <c t="s" s="30" r="F776">
        <v>4</v>
      </c>
      <c t="s" s="30" r="G776">
        <v>218</v>
      </c>
      <c t="str" s="12" r="H776">
        <f>HYPERLINK("http://sofifa.com/en/fifa13winter/player/144487-helton-da-silva-arruda","Helton")</f>
        <v>Helton</v>
      </c>
      <c s="30" r="I776">
        <v>81</v>
      </c>
      <c t="s" s="30" r="J776">
        <v>106</v>
      </c>
      <c t="s" s="30" r="K776">
        <v>169</v>
      </c>
      <c t="s" s="30" r="L776">
        <v>153</v>
      </c>
      <c s="30" r="M776">
        <v>34</v>
      </c>
      <c s="26" r="N776">
        <v>6.2</v>
      </c>
      <c s="23" r="O776">
        <v>0.051</v>
      </c>
      <c s="7" r="P776"/>
      <c s="7" r="Q776"/>
      <c s="7" r="R776">
        <f>IF((P776&gt;0),O776,0)</f>
        <v>0</v>
      </c>
      <c t="str" r="S776">
        <f>CONCATENATE(F776,E776)</f>
        <v>NON FTLNON FTL</v>
      </c>
    </row>
    <row r="777">
      <c t="s" s="7" r="A777">
        <v>201</v>
      </c>
      <c s="7" r="B777">
        <v>804</v>
      </c>
      <c s="30" r="C777">
        <v>2</v>
      </c>
      <c t="s" s="30" r="D777">
        <v>109</v>
      </c>
      <c t="s" s="30" r="E777">
        <v>4</v>
      </c>
      <c t="s" s="30" r="F777">
        <v>4</v>
      </c>
      <c t="s" s="30" r="G777">
        <v>218</v>
      </c>
      <c t="str" s="12" r="H777">
        <f>HYPERLINK("http://sofifa.com/en/fifa13winter/player/149293-danilo-luiz-da-silva","Danilo")</f>
        <v>Danilo</v>
      </c>
      <c s="30" r="I777">
        <v>76</v>
      </c>
      <c t="s" s="30" r="J777">
        <v>109</v>
      </c>
      <c t="s" s="30" r="K777">
        <v>167</v>
      </c>
      <c t="s" s="30" r="L777">
        <v>137</v>
      </c>
      <c s="30" r="M777">
        <v>21</v>
      </c>
      <c s="26" r="N777">
        <v>5</v>
      </c>
      <c s="23" r="O777">
        <v>0.013</v>
      </c>
      <c s="7" r="P777"/>
      <c s="7" r="Q777"/>
      <c s="7" r="R777">
        <f>IF((P777&gt;0),O777,0)</f>
        <v>0</v>
      </c>
      <c t="str" r="S777">
        <f>CONCATENATE(F777,E777)</f>
        <v>NON FTLNON FTL</v>
      </c>
    </row>
    <row r="778">
      <c t="s" s="7" r="A778">
        <v>201</v>
      </c>
      <c s="7" r="B778">
        <v>805</v>
      </c>
      <c s="30" r="C778">
        <v>22</v>
      </c>
      <c t="s" s="30" r="D778">
        <v>112</v>
      </c>
      <c t="s" s="30" r="E778">
        <v>4</v>
      </c>
      <c t="s" s="30" r="F778">
        <v>4</v>
      </c>
      <c t="s" s="30" r="G778">
        <v>218</v>
      </c>
      <c t="str" s="12" r="H778">
        <f>HYPERLINK("http://sofifa.com/en/fifa13winter/player/149141-eliaquim-mangala","E. Mangala")</f>
        <v>E. Mangala</v>
      </c>
      <c s="30" r="I778">
        <v>79</v>
      </c>
      <c t="s" s="30" r="J778">
        <v>113</v>
      </c>
      <c t="s" s="30" r="K778">
        <v>134</v>
      </c>
      <c t="s" s="30" r="L778">
        <v>183</v>
      </c>
      <c s="30" r="M778">
        <v>21</v>
      </c>
      <c s="26" r="N778">
        <v>7.8</v>
      </c>
      <c s="23" r="O778">
        <v>0.019</v>
      </c>
      <c s="7" r="P778"/>
      <c s="7" r="Q778"/>
      <c s="7" r="R778">
        <f>IF((P778&gt;0),O778,0)</f>
        <v>0</v>
      </c>
      <c t="str" r="S778">
        <f>CONCATENATE(F778,E778)</f>
        <v>NON FTLNON FTL</v>
      </c>
    </row>
    <row r="779">
      <c t="s" s="7" r="A779">
        <v>201</v>
      </c>
      <c s="7" r="B779">
        <v>806</v>
      </c>
      <c s="30" r="C779">
        <v>30</v>
      </c>
      <c t="s" s="30" r="D779">
        <v>116</v>
      </c>
      <c t="s" s="30" r="E779">
        <v>4</v>
      </c>
      <c t="s" s="30" r="F779">
        <v>4</v>
      </c>
      <c t="s" s="30" r="G779">
        <v>218</v>
      </c>
      <c t="str" s="12" r="H779">
        <f>HYPERLINK("http://sofifa.com/en/fifa13winter/player/148044-nicolas-otamendi","N. Otamendi")</f>
        <v>N. Otamendi</v>
      </c>
      <c s="30" r="I779">
        <v>80</v>
      </c>
      <c t="s" s="30" r="J779">
        <v>113</v>
      </c>
      <c t="s" s="30" r="K779">
        <v>167</v>
      </c>
      <c t="s" s="30" r="L779">
        <v>193</v>
      </c>
      <c s="30" r="M779">
        <v>24</v>
      </c>
      <c s="26" r="N779">
        <v>9.7</v>
      </c>
      <c s="23" r="O779">
        <v>0.03</v>
      </c>
      <c s="7" r="P779"/>
      <c s="7" r="Q779"/>
      <c s="7" r="R779">
        <f>IF((P779&gt;0),O779,0)</f>
        <v>0</v>
      </c>
      <c t="str" r="S779">
        <f>CONCATENATE(F779,E779)</f>
        <v>NON FTLNON FTL</v>
      </c>
    </row>
    <row r="780">
      <c t="s" s="7" r="A780">
        <v>201</v>
      </c>
      <c s="7" r="B780">
        <v>807</v>
      </c>
      <c s="30" r="C780">
        <v>26</v>
      </c>
      <c t="s" s="30" r="D780">
        <v>117</v>
      </c>
      <c t="s" s="30" r="E780">
        <v>4</v>
      </c>
      <c t="s" s="30" r="F780">
        <v>4</v>
      </c>
      <c t="s" s="30" r="G780">
        <v>218</v>
      </c>
      <c t="str" s="12" r="H780">
        <f>HYPERLINK("http://sofifa.com/en/fifa13winter/player/149123-alex-sandro-lobo-silva","Alex Sandro")</f>
        <v>Alex Sandro</v>
      </c>
      <c s="30" r="I780">
        <v>77</v>
      </c>
      <c t="s" s="30" r="J780">
        <v>117</v>
      </c>
      <c t="s" s="30" r="K780">
        <v>114</v>
      </c>
      <c t="s" s="30" r="L780">
        <v>161</v>
      </c>
      <c s="30" r="M780">
        <v>21</v>
      </c>
      <c s="26" r="N780">
        <v>5.8</v>
      </c>
      <c s="23" r="O780">
        <v>0.015</v>
      </c>
      <c s="7" r="P780"/>
      <c s="7" r="Q780"/>
      <c s="7" r="R780">
        <f>IF((P780&gt;0),O780,0)</f>
        <v>0</v>
      </c>
      <c t="str" r="S780">
        <f>CONCATENATE(F780,E780)</f>
        <v>NON FTLNON FTL</v>
      </c>
    </row>
    <row r="781">
      <c t="s" s="7" r="A781">
        <v>201</v>
      </c>
      <c s="7" r="B781">
        <v>808</v>
      </c>
      <c s="30" r="C781">
        <v>25</v>
      </c>
      <c t="s" s="30" r="D781">
        <v>154</v>
      </c>
      <c t="s" s="30" r="E781">
        <v>4</v>
      </c>
      <c t="s" s="30" r="F781">
        <v>4</v>
      </c>
      <c t="s" s="30" r="G781">
        <v>218</v>
      </c>
      <c t="str" s="12" r="H781">
        <f>HYPERLINK("http://sofifa.com/en/fifa13winter/player/147842-fernando-reges","Fernando")</f>
        <v>Fernando</v>
      </c>
      <c s="30" r="I781">
        <v>80</v>
      </c>
      <c t="s" s="30" r="J781">
        <v>154</v>
      </c>
      <c t="s" s="30" r="K781">
        <v>110</v>
      </c>
      <c t="s" s="30" r="L781">
        <v>160</v>
      </c>
      <c s="30" r="M781">
        <v>25</v>
      </c>
      <c s="26" r="N781">
        <v>9.7</v>
      </c>
      <c s="23" r="O781">
        <v>0.03</v>
      </c>
      <c s="7" r="P781"/>
      <c s="7" r="Q781"/>
      <c s="7" r="R781">
        <f>IF((P781&gt;0),O781,0)</f>
        <v>0</v>
      </c>
      <c t="str" r="S781">
        <f>CONCATENATE(F781,E781)</f>
        <v>NON FTLNON FTL</v>
      </c>
    </row>
    <row r="782">
      <c t="s" s="7" r="A782">
        <v>201</v>
      </c>
      <c s="7" r="B782">
        <v>809</v>
      </c>
      <c s="30" r="C782">
        <v>3</v>
      </c>
      <c t="s" s="30" r="D782">
        <v>123</v>
      </c>
      <c t="s" s="30" r="E782">
        <v>4</v>
      </c>
      <c t="s" s="30" r="F782">
        <v>4</v>
      </c>
      <c t="s" s="30" r="G782">
        <v>218</v>
      </c>
      <c t="str" s="12" r="H782">
        <f>HYPERLINK("http://sofifa.com/en/fifa13winter/player/145464-lucho-gonzalez","L. González")</f>
        <v>L. González</v>
      </c>
      <c s="30" r="I782">
        <v>81</v>
      </c>
      <c t="s" s="30" r="J782">
        <v>124</v>
      </c>
      <c t="s" s="30" r="K782">
        <v>173</v>
      </c>
      <c t="s" s="30" r="L782">
        <v>161</v>
      </c>
      <c s="30" r="M782">
        <v>31</v>
      </c>
      <c s="26" r="N782">
        <v>9.8</v>
      </c>
      <c s="23" r="O782">
        <v>0.046</v>
      </c>
      <c s="7" r="P782"/>
      <c s="7" r="Q782"/>
      <c s="7" r="R782">
        <f>IF((P782&gt;0),O782,0)</f>
        <v>0</v>
      </c>
      <c t="str" r="S782">
        <f>CONCATENATE(F782,E782)</f>
        <v>NON FTLNON FTL</v>
      </c>
    </row>
    <row r="783">
      <c t="s" s="7" r="A783">
        <v>201</v>
      </c>
      <c s="7" r="B783">
        <v>810</v>
      </c>
      <c s="30" r="C783">
        <v>35</v>
      </c>
      <c t="s" s="30" r="D783">
        <v>126</v>
      </c>
      <c t="s" s="30" r="E783">
        <v>4</v>
      </c>
      <c t="s" s="30" r="F783">
        <v>4</v>
      </c>
      <c t="s" s="30" r="G783">
        <v>218</v>
      </c>
      <c t="str" s="12" r="H783">
        <f>HYPERLINK("http://sofifa.com/en/fifa13winter/player/148107-steven-defour","S. Defour")</f>
        <v>S. Defour</v>
      </c>
      <c s="30" r="I783">
        <v>77</v>
      </c>
      <c t="s" s="30" r="J783">
        <v>154</v>
      </c>
      <c t="s" s="30" r="K783">
        <v>182</v>
      </c>
      <c t="s" s="30" r="L783">
        <v>122</v>
      </c>
      <c s="30" r="M783">
        <v>24</v>
      </c>
      <c s="26" r="N783">
        <v>5.4</v>
      </c>
      <c s="23" r="O783">
        <v>0.017</v>
      </c>
      <c s="7" r="P783"/>
      <c s="7" r="Q783"/>
      <c s="7" r="R783">
        <f>IF((P783&gt;0),O783,0)</f>
        <v>0</v>
      </c>
      <c t="str" r="S783">
        <f>CONCATENATE(F783,E783)</f>
        <v>NON FTLNON FTL</v>
      </c>
    </row>
    <row r="784">
      <c t="s" s="7" r="A784">
        <v>201</v>
      </c>
      <c s="7" r="B784">
        <v>811</v>
      </c>
      <c s="30" r="C784">
        <v>27</v>
      </c>
      <c t="s" s="30" r="D784">
        <v>157</v>
      </c>
      <c t="s" s="30" r="E784">
        <v>4</v>
      </c>
      <c t="s" s="30" r="F784">
        <v>4</v>
      </c>
      <c t="s" s="30" r="G784">
        <v>218</v>
      </c>
      <c t="str" s="12" r="H784">
        <f>HYPERLINK("http://sofifa.com/en/fifa13winter/player/149472-christian-atsu","C. Atsu")</f>
        <v>C. Atsu</v>
      </c>
      <c s="30" r="I784">
        <v>76</v>
      </c>
      <c t="s" s="30" r="J784">
        <v>170</v>
      </c>
      <c t="s" s="30" r="K784">
        <v>219</v>
      </c>
      <c t="s" s="30" r="L784">
        <v>164</v>
      </c>
      <c s="30" r="M784">
        <v>20</v>
      </c>
      <c s="26" r="N784">
        <v>6.6</v>
      </c>
      <c s="23" r="O784">
        <v>0.012</v>
      </c>
      <c s="7" r="P784"/>
      <c s="7" r="Q784"/>
      <c s="7" r="R784">
        <f>IF((P784&gt;0),O784,0)</f>
        <v>0</v>
      </c>
      <c t="str" r="S784">
        <f>CONCATENATE(F784,E784)</f>
        <v>NON FTLNON FTL</v>
      </c>
    </row>
    <row r="785">
      <c t="s" s="7" r="A785">
        <v>201</v>
      </c>
      <c s="7" r="B785">
        <v>812</v>
      </c>
      <c s="30" r="C785">
        <v>9</v>
      </c>
      <c t="s" s="30" r="D785">
        <v>129</v>
      </c>
      <c t="s" s="30" r="E785">
        <v>4</v>
      </c>
      <c t="s" s="30" r="F785">
        <v>4</v>
      </c>
      <c t="s" s="30" r="G785">
        <v>218</v>
      </c>
      <c t="str" s="12" r="H785">
        <f>HYPERLINK("http://sofifa.com/en/fifa13winter/player/147547-jackson-martinez","J. Martínez")</f>
        <v>J. Martínez</v>
      </c>
      <c s="30" r="I785">
        <v>80</v>
      </c>
      <c t="s" s="30" r="J785">
        <v>129</v>
      </c>
      <c t="s" s="30" r="K785">
        <v>132</v>
      </c>
      <c t="s" s="30" r="L785">
        <v>179</v>
      </c>
      <c s="30" r="M785">
        <v>25</v>
      </c>
      <c s="26" r="N785">
        <v>12.6</v>
      </c>
      <c s="23" r="O785">
        <v>0.03</v>
      </c>
      <c s="7" r="P785"/>
      <c s="7" r="Q785"/>
      <c s="7" r="R785">
        <f>IF((P785&gt;0),O785,0)</f>
        <v>0</v>
      </c>
      <c t="str" r="S785">
        <f>CONCATENATE(F785,E785)</f>
        <v>NON FTLNON FTL</v>
      </c>
    </row>
    <row r="786">
      <c t="s" s="7" r="A786">
        <v>201</v>
      </c>
      <c s="7" r="B786">
        <v>813</v>
      </c>
      <c s="30" r="C786">
        <v>17</v>
      </c>
      <c t="s" s="30" r="D786">
        <v>170</v>
      </c>
      <c t="s" s="30" r="E786">
        <v>4</v>
      </c>
      <c t="s" s="30" r="F786">
        <v>4</v>
      </c>
      <c t="s" s="30" r="G786">
        <v>218</v>
      </c>
      <c t="str" s="12" r="H786">
        <f>HYPERLINK("http://sofifa.com/en/fifa13winter/player/146939-silvestre-goncalves-varela","Varela")</f>
        <v>Varela</v>
      </c>
      <c s="30" r="I786">
        <v>77</v>
      </c>
      <c t="s" s="30" r="J786">
        <v>170</v>
      </c>
      <c t="s" s="30" r="K786">
        <v>145</v>
      </c>
      <c t="s" s="30" r="L786">
        <v>158</v>
      </c>
      <c s="30" r="M786">
        <v>27</v>
      </c>
      <c s="26" r="N786">
        <v>6</v>
      </c>
      <c s="23" r="O786">
        <v>0.017</v>
      </c>
      <c s="7" r="P786"/>
      <c s="7" r="Q786"/>
      <c s="7" r="R786">
        <f>IF((P786&gt;0),O786,0)</f>
        <v>0</v>
      </c>
      <c t="str" r="S786">
        <f>CONCATENATE(F786,E786)</f>
        <v>NON FTLNON FTL</v>
      </c>
    </row>
    <row r="787">
      <c t="s" s="7" r="A787">
        <v>201</v>
      </c>
      <c s="7" r="B787">
        <v>814</v>
      </c>
      <c s="30" r="C787">
        <v>24</v>
      </c>
      <c t="s" s="30" r="D787">
        <v>136</v>
      </c>
      <c t="s" s="30" r="E787">
        <v>4</v>
      </c>
      <c t="s" s="30" r="F787">
        <v>4</v>
      </c>
      <c t="s" s="30" r="G787">
        <v>218</v>
      </c>
      <c t="str" s="12" r="H787">
        <f>HYPERLINK("http://sofifa.com/en/fifa13winter/player/148061-fabiano-ribeiro-de-freitas","Fabiano")</f>
        <v>Fabiano</v>
      </c>
      <c s="30" r="I787">
        <v>74</v>
      </c>
      <c t="s" s="30" r="J787">
        <v>106</v>
      </c>
      <c t="s" s="30" r="K787">
        <v>215</v>
      </c>
      <c t="s" s="30" r="L787">
        <v>185</v>
      </c>
      <c s="30" r="M787">
        <v>24</v>
      </c>
      <c s="26" r="N787">
        <v>2.9</v>
      </c>
      <c s="23" r="O787">
        <v>0.011</v>
      </c>
      <c s="7" r="P787"/>
      <c s="7" r="Q787"/>
      <c s="7" r="R787">
        <f>IF((P787&gt;0),O787,0)</f>
        <v>0</v>
      </c>
      <c t="str" r="S787">
        <f>CONCATENATE(F787,E787)</f>
        <v>NON FTLNON FTL</v>
      </c>
    </row>
    <row r="788">
      <c t="s" s="7" r="A788">
        <v>201</v>
      </c>
      <c s="7" r="B788">
        <v>815</v>
      </c>
      <c s="30" r="C788">
        <v>5</v>
      </c>
      <c t="s" s="30" r="D788">
        <v>136</v>
      </c>
      <c t="s" s="30" r="E788">
        <v>4</v>
      </c>
      <c t="s" s="30" r="F788">
        <v>4</v>
      </c>
      <c t="s" s="30" r="G788">
        <v>218</v>
      </c>
      <c t="str" s="12" r="H788">
        <f>HYPERLINK("http://sofifa.com/en/fifa13winter/player/149539-hector-andres-quinones","H. Quiñones")</f>
        <v>H. Quiñones</v>
      </c>
      <c s="30" r="I788">
        <v>68</v>
      </c>
      <c t="s" s="30" r="J788">
        <v>117</v>
      </c>
      <c t="s" s="30" r="K788">
        <v>118</v>
      </c>
      <c t="s" s="30" r="L788">
        <v>115</v>
      </c>
      <c s="30" r="M788">
        <v>20</v>
      </c>
      <c s="26" r="N788">
        <v>1.6</v>
      </c>
      <c s="23" r="O788">
        <v>0.005</v>
      </c>
      <c s="7" r="P788"/>
      <c s="7" r="Q788"/>
      <c s="7" r="R788">
        <f>IF((P788&gt;0),O788,0)</f>
        <v>0</v>
      </c>
      <c t="str" r="S788">
        <f>CONCATENATE(F788,E788)</f>
        <v>NON FTLNON FTL</v>
      </c>
    </row>
    <row r="789">
      <c t="s" s="7" r="A789">
        <v>201</v>
      </c>
      <c s="7" r="B789">
        <v>816</v>
      </c>
      <c s="30" r="C789">
        <v>49</v>
      </c>
      <c t="s" s="30" r="D789">
        <v>136</v>
      </c>
      <c t="s" s="30" r="E789">
        <v>4</v>
      </c>
      <c t="s" s="30" r="F789">
        <v>4</v>
      </c>
      <c t="s" s="30" r="G789">
        <v>218</v>
      </c>
      <c t="str" s="12" r="H789">
        <f>HYPERLINK("http://sofifa.com/en/fifa13winter/player/149584-guilherme-a-alves-dellatorre","Dellatorre")</f>
        <v>Dellatorre</v>
      </c>
      <c s="30" r="I789">
        <v>67</v>
      </c>
      <c t="s" s="30" r="J789">
        <v>129</v>
      </c>
      <c t="s" s="30" r="K789">
        <v>143</v>
      </c>
      <c t="s" s="30" r="L789">
        <v>160</v>
      </c>
      <c s="30" r="M789">
        <v>20</v>
      </c>
      <c s="26" r="N789">
        <v>1.8</v>
      </c>
      <c s="23" r="O789">
        <v>0.005</v>
      </c>
      <c s="7" r="P789"/>
      <c s="7" r="Q789"/>
      <c s="7" r="R789">
        <f>IF((P789&gt;0),O789,0)</f>
        <v>0</v>
      </c>
      <c t="str" r="S789">
        <f>CONCATENATE(F789,E789)</f>
        <v>NON FTLNON FTL</v>
      </c>
    </row>
    <row r="790">
      <c t="s" s="7" r="A790">
        <v>201</v>
      </c>
      <c s="7" r="B790">
        <v>817</v>
      </c>
      <c s="30" r="C790">
        <v>45</v>
      </c>
      <c t="s" s="30" r="D790">
        <v>136</v>
      </c>
      <c t="s" s="30" r="E790">
        <v>4</v>
      </c>
      <c t="s" s="30" r="F790">
        <v>4</v>
      </c>
      <c t="s" s="30" r="G790">
        <v>218</v>
      </c>
      <c t="str" s="12" r="H790">
        <f>HYPERLINK("http://sofifa.com/en/fifa13winter/player/150019-tiago-emanuel-c-a-ferreira","Tiago Ferreira")</f>
        <v>Tiago Ferreira</v>
      </c>
      <c s="30" r="I790">
        <v>65</v>
      </c>
      <c t="s" s="30" r="J790">
        <v>113</v>
      </c>
      <c t="s" s="30" r="K790">
        <v>110</v>
      </c>
      <c t="s" s="30" r="L790">
        <v>137</v>
      </c>
      <c s="30" r="M790">
        <v>19</v>
      </c>
      <c s="26" r="N790">
        <v>1.1</v>
      </c>
      <c s="23" r="O790">
        <v>0.004</v>
      </c>
      <c s="7" r="P790"/>
      <c s="7" r="Q790"/>
      <c s="7" r="R790">
        <f>IF((P790&gt;0),O790,0)</f>
        <v>0</v>
      </c>
      <c t="str" r="S790">
        <f>CONCATENATE(F790,E790)</f>
        <v>NON FTLNON FTL</v>
      </c>
    </row>
    <row r="791">
      <c t="s" s="7" r="A791">
        <v>201</v>
      </c>
      <c s="7" r="B791">
        <v>818</v>
      </c>
      <c s="30" r="C791">
        <v>15</v>
      </c>
      <c t="s" s="30" r="D791">
        <v>136</v>
      </c>
      <c t="s" s="30" r="E791">
        <v>4</v>
      </c>
      <c t="s" s="30" r="F791">
        <v>4</v>
      </c>
      <c t="s" s="30" r="G791">
        <v>218</v>
      </c>
      <c t="str" s="12" r="H791">
        <f>HYPERLINK("http://sofifa.com/en/fifa13winter/player/146074-marat-izmaylov","M. Izmaylov")</f>
        <v>M. Izmaylov</v>
      </c>
      <c s="30" r="I791">
        <v>79</v>
      </c>
      <c t="s" s="30" r="J791">
        <v>170</v>
      </c>
      <c t="s" s="30" r="K791">
        <v>130</v>
      </c>
      <c t="s" s="30" r="L791">
        <v>122</v>
      </c>
      <c s="30" r="M791">
        <v>29</v>
      </c>
      <c s="26" r="N791">
        <v>7.1</v>
      </c>
      <c s="23" r="O791">
        <v>0.024</v>
      </c>
      <c s="7" r="P791"/>
      <c s="7" r="Q791"/>
      <c s="7" r="R791">
        <f>IF((P791&gt;0),O791,0)</f>
        <v>0</v>
      </c>
      <c t="str" r="S791">
        <f>CONCATENATE(F791,E791)</f>
        <v>NON FTLNON FTL</v>
      </c>
    </row>
    <row r="792">
      <c t="s" s="7" r="A792">
        <v>201</v>
      </c>
      <c s="7" r="B792">
        <v>819</v>
      </c>
      <c s="30" r="C792">
        <v>23</v>
      </c>
      <c t="s" s="30" r="D792">
        <v>136</v>
      </c>
      <c t="s" s="30" r="E792">
        <v>4</v>
      </c>
      <c t="s" s="30" r="F792">
        <v>4</v>
      </c>
      <c t="s" s="30" r="G792">
        <v>218</v>
      </c>
      <c t="str" s="12" r="H792">
        <f>HYPERLINK("http://sofifa.com/en/fifa13winter/player/149098-abdoulaye-ba","A. Ba")</f>
        <v>A. Ba</v>
      </c>
      <c s="30" r="I792">
        <v>68</v>
      </c>
      <c t="s" s="30" r="J792">
        <v>113</v>
      </c>
      <c t="s" s="30" r="K792">
        <v>215</v>
      </c>
      <c t="s" s="30" r="L792">
        <v>153</v>
      </c>
      <c s="30" r="M792">
        <v>21</v>
      </c>
      <c s="26" r="N792">
        <v>1.8</v>
      </c>
      <c s="23" r="O792">
        <v>0.005</v>
      </c>
      <c s="7" r="P792"/>
      <c s="7" r="Q792"/>
      <c s="7" r="R792">
        <f>IF((P792&gt;0),O792,0)</f>
        <v>0</v>
      </c>
      <c t="str" r="S792">
        <f>CONCATENATE(F792,E792)</f>
        <v>NON FTLNON FTL</v>
      </c>
    </row>
    <row r="793">
      <c t="s" s="7" r="A793">
        <v>201</v>
      </c>
      <c s="7" r="B793">
        <v>820</v>
      </c>
      <c s="30" r="C793">
        <v>28</v>
      </c>
      <c t="s" s="30" r="D793">
        <v>136</v>
      </c>
      <c t="s" s="30" r="E793">
        <v>4</v>
      </c>
      <c t="s" s="30" r="F793">
        <v>4</v>
      </c>
      <c t="s" s="30" r="G793">
        <v>218</v>
      </c>
      <c t="str" s="12" r="H793">
        <f>HYPERLINK("http://sofifa.com/en/fifa13winter/player/149980-kelvin-mateus-de-oliveira","Kelvin")</f>
        <v>Kelvin</v>
      </c>
      <c s="30" r="I793">
        <v>74</v>
      </c>
      <c t="s" s="30" r="J793">
        <v>157</v>
      </c>
      <c t="s" s="30" r="K793">
        <v>130</v>
      </c>
      <c t="s" s="30" r="L793">
        <v>163</v>
      </c>
      <c s="30" r="M793">
        <v>19</v>
      </c>
      <c s="26" r="N793">
        <v>4.4</v>
      </c>
      <c s="23" r="O793">
        <v>0.009</v>
      </c>
      <c s="7" r="P793"/>
      <c s="7" r="Q793"/>
      <c s="7" r="R793">
        <f>IF((P793&gt;0),O793,0)</f>
        <v>0</v>
      </c>
      <c t="str" r="S793">
        <f>CONCATENATE(F793,E793)</f>
        <v>NON FTLNON FTL</v>
      </c>
    </row>
    <row r="794">
      <c t="s" s="7" r="A794">
        <v>201</v>
      </c>
      <c s="7" r="B794">
        <v>821</v>
      </c>
      <c s="30" r="C794">
        <v>57</v>
      </c>
      <c t="s" s="30" r="D794">
        <v>136</v>
      </c>
      <c t="s" s="30" r="E794">
        <v>4</v>
      </c>
      <c t="s" s="30" r="F794">
        <v>4</v>
      </c>
      <c t="s" s="30" r="G794">
        <v>218</v>
      </c>
      <c t="str" s="12" r="H794">
        <f>HYPERLINK("http://sofifa.com/en/fifa13winter/player/149622-sebastiao-de-freitas-couto","Sebá")</f>
        <v>Sebá</v>
      </c>
      <c s="30" r="I794">
        <v>67</v>
      </c>
      <c t="s" s="30" r="J794">
        <v>157</v>
      </c>
      <c t="s" s="30" r="K794">
        <v>145</v>
      </c>
      <c t="s" s="30" r="L794">
        <v>119</v>
      </c>
      <c s="30" r="M794">
        <v>20</v>
      </c>
      <c s="26" r="N794">
        <v>1.7</v>
      </c>
      <c s="23" r="O794">
        <v>0.005</v>
      </c>
      <c s="7" r="P794"/>
      <c s="7" r="Q794"/>
      <c s="7" r="R794">
        <f>IF((P794&gt;0),O794,0)</f>
        <v>0</v>
      </c>
      <c t="str" r="S794">
        <f>CONCATENATE(F794,E794)</f>
        <v>NON FTLNON FTL</v>
      </c>
    </row>
    <row r="795">
      <c t="s" s="7" r="A795">
        <v>201</v>
      </c>
      <c s="7" r="B795">
        <v>822</v>
      </c>
      <c s="30" r="C795">
        <v>6</v>
      </c>
      <c t="s" s="30" r="D795">
        <v>136</v>
      </c>
      <c t="s" s="30" r="E795">
        <v>4</v>
      </c>
      <c t="s" s="30" r="F795">
        <v>4</v>
      </c>
      <c t="s" s="30" r="G795">
        <v>218</v>
      </c>
      <c t="str" s="12" r="H795">
        <f>HYPERLINK("http://sofifa.com/en/fifa13winter/player/148094-andre-castro-pereira","Castro")</f>
        <v>Castro</v>
      </c>
      <c s="30" r="I795">
        <v>74</v>
      </c>
      <c t="s" s="30" r="J795">
        <v>124</v>
      </c>
      <c t="s" s="30" r="K795">
        <v>114</v>
      </c>
      <c t="s" s="30" r="L795">
        <v>137</v>
      </c>
      <c s="30" r="M795">
        <v>24</v>
      </c>
      <c s="26" r="N795">
        <v>3.4</v>
      </c>
      <c s="23" r="O795">
        <v>0.011</v>
      </c>
      <c s="7" r="P795"/>
      <c s="7" r="Q795"/>
      <c s="7" r="R795">
        <f>IF((P795&gt;0),O795,0)</f>
        <v>0</v>
      </c>
      <c t="str" r="S795">
        <f>CONCATENATE(F795,E795)</f>
        <v>NON FTLNON FTL</v>
      </c>
    </row>
    <row r="796">
      <c t="s" s="7" r="A796">
        <v>201</v>
      </c>
      <c s="7" r="B796">
        <v>823</v>
      </c>
      <c s="30" r="C796">
        <v>4</v>
      </c>
      <c t="s" s="30" r="D796">
        <v>136</v>
      </c>
      <c t="s" s="30" r="E796">
        <v>4</v>
      </c>
      <c t="s" s="30" r="F796">
        <v>4</v>
      </c>
      <c t="s" s="30" r="G796">
        <v>218</v>
      </c>
      <c t="str" s="12" r="H796">
        <f>HYPERLINK("http://sofifa.com/en/fifa13winter/player/148259-maicon-pereira-roque","Maicon")</f>
        <v>Maicon</v>
      </c>
      <c s="30" r="I796">
        <v>78</v>
      </c>
      <c t="s" s="30" r="J796">
        <v>113</v>
      </c>
      <c t="s" s="30" r="K796">
        <v>144</v>
      </c>
      <c t="s" s="30" r="L796">
        <v>193</v>
      </c>
      <c s="30" r="M796">
        <v>23</v>
      </c>
      <c s="26" r="N796">
        <v>7.4</v>
      </c>
      <c s="23" r="O796">
        <v>0.018</v>
      </c>
      <c s="7" r="P796"/>
      <c s="7" r="Q796"/>
      <c s="7" r="R796">
        <f>IF((P796&gt;0),O796,0)</f>
        <v>0</v>
      </c>
      <c t="str" r="S796">
        <f>CONCATENATE(F796,E796)</f>
        <v>NON FTLNON FTL</v>
      </c>
    </row>
    <row r="797">
      <c t="s" s="7" r="A797">
        <v>201</v>
      </c>
      <c s="7" r="B797">
        <v>824</v>
      </c>
      <c s="30" r="C797">
        <v>60</v>
      </c>
      <c t="s" s="30" r="D797">
        <v>136</v>
      </c>
      <c t="s" s="30" r="E797">
        <v>4</v>
      </c>
      <c t="s" s="30" r="F797">
        <v>4</v>
      </c>
      <c t="s" s="30" r="G797">
        <v>218</v>
      </c>
      <c t="str" s="12" r="H797">
        <f>HYPERLINK("http://sofifa.com/en/fifa13winter/player/149616-sergio-miguel-relvas-de-oliveira","Sérgio Oliveira")</f>
        <v>Sérgio Oliveira</v>
      </c>
      <c s="30" r="I797">
        <v>69</v>
      </c>
      <c t="s" s="30" r="J797">
        <v>162</v>
      </c>
      <c t="s" s="30" r="K797">
        <v>150</v>
      </c>
      <c t="s" s="30" r="L797">
        <v>146</v>
      </c>
      <c s="30" r="M797">
        <v>20</v>
      </c>
      <c s="26" r="N797">
        <v>2.2</v>
      </c>
      <c s="23" r="O797">
        <v>0.005</v>
      </c>
      <c s="7" r="P797"/>
      <c s="7" r="Q797"/>
      <c s="7" r="R797">
        <f>IF((P797&gt;0),O797,0)</f>
        <v>0</v>
      </c>
      <c t="str" r="S797">
        <f>CONCATENATE(F797,E797)</f>
        <v>NON FTLNON FTL</v>
      </c>
    </row>
    <row r="798">
      <c t="s" s="7" r="A798">
        <v>201</v>
      </c>
      <c s="7" r="B798">
        <v>825</v>
      </c>
      <c s="30" r="C798">
        <v>19</v>
      </c>
      <c t="s" s="30" r="D798">
        <v>136</v>
      </c>
      <c t="s" s="30" r="E798">
        <v>4</v>
      </c>
      <c t="s" s="30" r="F798">
        <v>4</v>
      </c>
      <c t="s" s="30" r="G798">
        <v>218</v>
      </c>
      <c t="str" s="12" r="H798">
        <f>HYPERLINK("http://sofifa.com/en/fifa13winter/player/144335-liedson-da-silva-muniz","Liedson")</f>
        <v>Liedson</v>
      </c>
      <c s="30" r="I798">
        <v>74</v>
      </c>
      <c t="s" s="30" r="J798">
        <v>129</v>
      </c>
      <c t="s" s="30" r="K798">
        <v>139</v>
      </c>
      <c t="s" s="30" r="L798">
        <v>140</v>
      </c>
      <c s="30" r="M798">
        <v>34</v>
      </c>
      <c s="26" r="N798">
        <v>2.6</v>
      </c>
      <c s="23" r="O798">
        <v>0.014</v>
      </c>
      <c s="7" r="P798"/>
      <c s="7" r="Q798"/>
      <c s="7" r="R798">
        <f>IF((P798&gt;0),O798,0)</f>
        <v>0</v>
      </c>
      <c t="str" r="S798">
        <f>CONCATENATE(F798,E798)</f>
        <v>NON FTLNON FTL</v>
      </c>
    </row>
    <row r="799">
      <c t="s" s="7" r="A799">
        <v>201</v>
      </c>
      <c s="7" r="B799">
        <v>826</v>
      </c>
      <c s="30" r="C799">
        <v>41</v>
      </c>
      <c t="s" s="30" r="D799">
        <v>147</v>
      </c>
      <c t="s" s="30" r="E799">
        <v>4</v>
      </c>
      <c t="s" s="30" r="F799">
        <v>4</v>
      </c>
      <c t="s" s="30" r="G799">
        <v>218</v>
      </c>
      <c t="str" s="12" r="H799">
        <f>HYPERLINK("http://sofifa.com/en/fifa13winter/player/150527-aldo-g-m-monteiro","Kadú")</f>
        <v>Kadú</v>
      </c>
      <c s="30" r="I799">
        <v>60</v>
      </c>
      <c t="s" s="30" r="J799">
        <v>106</v>
      </c>
      <c t="s" s="30" r="K799">
        <v>167</v>
      </c>
      <c t="s" s="30" r="L799">
        <v>160</v>
      </c>
      <c s="30" r="M799">
        <v>17</v>
      </c>
      <c s="26" r="N799">
        <v>0.5</v>
      </c>
      <c s="23" r="O799">
        <v>0.002</v>
      </c>
      <c s="7" r="P799"/>
      <c s="7" r="Q799"/>
      <c s="7" r="R799">
        <f>IF((P799&gt;0),O799,0)</f>
        <v>0</v>
      </c>
      <c t="str" r="S799">
        <f>CONCATENATE(F799,E799)</f>
        <v>NON FTLNON FTL</v>
      </c>
    </row>
    <row r="800">
      <c t="s" s="7" r="A800">
        <v>201</v>
      </c>
      <c s="7" r="B800">
        <v>827</v>
      </c>
      <c s="30" r="C800">
        <v>14</v>
      </c>
      <c t="s" s="30" r="D800">
        <v>147</v>
      </c>
      <c t="s" s="30" r="E800">
        <v>4</v>
      </c>
      <c t="s" s="30" r="F800">
        <v>4</v>
      </c>
      <c t="s" s="30" r="G800">
        <v>218</v>
      </c>
      <c t="str" s="12" r="H800">
        <f>HYPERLINK("http://sofifa.com/en/fifa13winter/player/146864-jorge-fucile","J. Fucile")</f>
        <v>J. Fucile</v>
      </c>
      <c s="30" r="I800">
        <v>73</v>
      </c>
      <c t="s" s="30" r="J800">
        <v>109</v>
      </c>
      <c t="s" s="30" r="K800">
        <v>118</v>
      </c>
      <c t="s" s="30" r="L800">
        <v>161</v>
      </c>
      <c s="30" r="M800">
        <v>27</v>
      </c>
      <c s="26" r="N800">
        <v>2.7</v>
      </c>
      <c s="23" r="O800">
        <v>0.01</v>
      </c>
      <c s="7" r="P800"/>
      <c s="7" r="Q800"/>
      <c s="7" r="R800">
        <f>IF((P800&gt;0),O800,0)</f>
        <v>0</v>
      </c>
      <c t="str" r="S800">
        <f>CONCATENATE(F800,E800)</f>
        <v>NON FTLNON FTL</v>
      </c>
    </row>
    <row r="801">
      <c t="s" s="7" r="A801">
        <v>201</v>
      </c>
      <c s="7" r="B801">
        <v>828</v>
      </c>
      <c s="30" r="C801">
        <v>59</v>
      </c>
      <c t="s" s="30" r="D801">
        <v>147</v>
      </c>
      <c t="s" s="30" r="E801">
        <v>4</v>
      </c>
      <c t="s" s="30" r="F801">
        <v>4</v>
      </c>
      <c t="s" s="30" r="G801">
        <v>218</v>
      </c>
      <c t="str" s="12" r="H801">
        <f>HYPERLINK("http://sofifa.com/en/fifa13winter/player/150173-thibaut-vion","T. Vion")</f>
        <v>T. Vion</v>
      </c>
      <c s="30" r="I801">
        <v>63</v>
      </c>
      <c t="s" s="30" r="J801">
        <v>129</v>
      </c>
      <c t="s" s="30" r="K801">
        <v>132</v>
      </c>
      <c t="s" s="30" r="L801">
        <v>115</v>
      </c>
      <c s="30" r="M801">
        <v>18</v>
      </c>
      <c s="26" r="N801">
        <v>1.1</v>
      </c>
      <c s="23" r="O801">
        <v>0.003</v>
      </c>
      <c s="7" r="P801"/>
      <c s="7" r="Q801"/>
      <c s="7" r="R801">
        <f>IF((P801&gt;0),O801,0)</f>
        <v>0</v>
      </c>
      <c t="str" r="S801">
        <f>CONCATENATE(F801,E801)</f>
        <v>NON FTLNON FTL</v>
      </c>
    </row>
    <row r="802">
      <c t="s" s="7" r="A802">
        <v>201</v>
      </c>
      <c s="7" r="B802">
        <v>829</v>
      </c>
      <c s="30" r="C802">
        <v>70</v>
      </c>
      <c t="s" s="30" r="D802">
        <v>147</v>
      </c>
      <c t="s" s="30" r="E802">
        <v>4</v>
      </c>
      <c t="s" s="30" r="F802">
        <v>4</v>
      </c>
      <c t="s" s="30" r="G802">
        <v>218</v>
      </c>
      <c t="str" s="12" r="H802">
        <f>HYPERLINK("http://sofifa.com/en/fifa13winter/player/149842-antonio-jose-pinheiro-carvalho","Tozé")</f>
        <v>Tozé</v>
      </c>
      <c s="30" r="I802">
        <v>66</v>
      </c>
      <c t="s" s="30" r="J802">
        <v>162</v>
      </c>
      <c t="s" s="30" r="K802">
        <v>121</v>
      </c>
      <c t="s" s="30" r="L802">
        <v>163</v>
      </c>
      <c s="30" r="M802">
        <v>19</v>
      </c>
      <c s="26" r="N802">
        <v>1.5</v>
      </c>
      <c s="23" r="O802">
        <v>0.004</v>
      </c>
      <c s="7" r="P802"/>
      <c s="7" r="Q802"/>
      <c s="7" r="R802">
        <f>IF((P802&gt;0),O802,0)</f>
        <v>0</v>
      </c>
      <c t="str" r="S802">
        <f>CONCATENATE(F802,E802)</f>
        <v>NON FTLNON FTL</v>
      </c>
    </row>
    <row r="803">
      <c t="s" s="7" r="A803">
        <v>201</v>
      </c>
      <c s="7" r="B803">
        <v>830</v>
      </c>
      <c s="30" r="C803">
        <v>39</v>
      </c>
      <c t="s" s="30" r="D803">
        <v>147</v>
      </c>
      <c t="s" s="30" r="E803">
        <v>4</v>
      </c>
      <c t="s" s="30" r="F803">
        <v>4</v>
      </c>
      <c t="s" s="30" r="G803">
        <v>218</v>
      </c>
      <c t="str" s="12" r="H803">
        <f>HYPERLINK("http://sofifa.com/en/fifa13winter/player/150474-mauro-caballero","M. Caballero")</f>
        <v>M. Caballero</v>
      </c>
      <c s="30" r="I803">
        <v>67</v>
      </c>
      <c t="s" s="30" r="J803">
        <v>129</v>
      </c>
      <c t="s" s="30" r="K803">
        <v>139</v>
      </c>
      <c t="s" s="30" r="L803">
        <v>149</v>
      </c>
      <c s="30" r="M803">
        <v>17</v>
      </c>
      <c s="26" r="N803">
        <v>1.9</v>
      </c>
      <c s="23" r="O803">
        <v>0.004</v>
      </c>
      <c s="7" r="P803"/>
      <c s="7" r="Q803"/>
      <c s="7" r="R803">
        <f>IF((P803&gt;0),O803,0)</f>
        <v>0</v>
      </c>
      <c t="str" r="S803">
        <f>CONCATENATE(F803,E803)</f>
        <v>NON FTLNON FTL</v>
      </c>
    </row>
    <row r="804">
      <c t="s" s="7" r="A804">
        <v>201</v>
      </c>
      <c s="7" r="B804">
        <v>831</v>
      </c>
      <c s="30" r="C804">
        <v>1</v>
      </c>
      <c t="s" s="30" r="D804">
        <v>106</v>
      </c>
      <c t="s" s="30" r="E804">
        <v>4</v>
      </c>
      <c t="s" s="30" r="F804">
        <v>4</v>
      </c>
      <c t="s" s="30" r="G804">
        <v>220</v>
      </c>
      <c t="str" s="12" r="H804">
        <f>HYPERLINK("http://sofifa.com/en/fifa13winter/player/149526-bernd-leno","B. Leno")</f>
        <v>B. Leno</v>
      </c>
      <c s="30" r="I804">
        <v>80</v>
      </c>
      <c t="s" s="30" r="J804">
        <v>106</v>
      </c>
      <c t="s" s="30" r="K804">
        <v>152</v>
      </c>
      <c t="s" s="30" r="L804">
        <v>158</v>
      </c>
      <c s="30" r="M804">
        <v>20</v>
      </c>
      <c s="26" r="N804">
        <v>9</v>
      </c>
      <c s="23" r="O804">
        <v>0.025</v>
      </c>
      <c s="7" r="P804"/>
      <c s="7" r="Q804"/>
      <c s="7" r="R804">
        <f>IF((P804&gt;0),O804,0)</f>
        <v>0</v>
      </c>
      <c t="str" r="S804">
        <f>CONCATENATE(F804,E804)</f>
        <v>NON FTLNON FTL</v>
      </c>
    </row>
    <row r="805">
      <c t="s" s="7" r="A805">
        <v>201</v>
      </c>
      <c s="7" r="B805">
        <v>832</v>
      </c>
      <c s="30" r="C805">
        <v>20</v>
      </c>
      <c t="s" s="30" r="D805">
        <v>109</v>
      </c>
      <c t="s" s="30" r="E805">
        <v>4</v>
      </c>
      <c t="s" s="30" r="F805">
        <v>4</v>
      </c>
      <c t="s" s="30" r="G805">
        <v>220</v>
      </c>
      <c t="str" s="12" r="H805">
        <f>HYPERLINK("http://sofifa.com/en/fifa13winter/player/149473-daniel-carvajal-ramos","Carvajal")</f>
        <v>Carvajal</v>
      </c>
      <c s="30" r="I805">
        <v>77</v>
      </c>
      <c t="s" s="30" r="J805">
        <v>109</v>
      </c>
      <c t="s" s="30" r="K805">
        <v>130</v>
      </c>
      <c t="s" s="30" r="L805">
        <v>142</v>
      </c>
      <c s="30" r="M805">
        <v>20</v>
      </c>
      <c s="26" r="N805">
        <v>6</v>
      </c>
      <c s="23" r="O805">
        <v>0.014</v>
      </c>
      <c s="7" r="P805"/>
      <c s="7" r="Q805"/>
      <c s="7" r="R805">
        <f>IF((P805&gt;0),O805,0)</f>
        <v>0</v>
      </c>
      <c t="str" r="S805">
        <f>CONCATENATE(F805,E805)</f>
        <v>NON FTLNON FTL</v>
      </c>
    </row>
    <row r="806">
      <c t="s" s="7" r="A806">
        <v>201</v>
      </c>
      <c s="7" r="B806">
        <v>833</v>
      </c>
      <c s="30" r="C806">
        <v>4</v>
      </c>
      <c t="s" s="30" r="D806">
        <v>112</v>
      </c>
      <c t="s" s="30" r="E806">
        <v>4</v>
      </c>
      <c t="s" s="30" r="F806">
        <v>4</v>
      </c>
      <c t="s" s="30" r="G806">
        <v>220</v>
      </c>
      <c t="str" s="12" r="H806">
        <f>HYPERLINK("http://sofifa.com/en/fifa13winter/player/148432-philipp-wollscheid","P. Wollscheid")</f>
        <v>P. Wollscheid</v>
      </c>
      <c s="30" r="I806">
        <v>78</v>
      </c>
      <c t="s" s="30" r="J806">
        <v>113</v>
      </c>
      <c t="s" s="30" r="K806">
        <v>188</v>
      </c>
      <c t="s" s="30" r="L806">
        <v>175</v>
      </c>
      <c s="30" r="M806">
        <v>23</v>
      </c>
      <c s="26" r="N806">
        <v>6.7</v>
      </c>
      <c s="23" r="O806">
        <v>0.018</v>
      </c>
      <c s="7" r="P806"/>
      <c s="7" r="Q806"/>
      <c s="7" r="R806">
        <f>IF((P806&gt;0),O806,0)</f>
        <v>0</v>
      </c>
      <c t="str" r="S806">
        <f>CONCATENATE(F806,E806)</f>
        <v>NON FTLNON FTL</v>
      </c>
    </row>
    <row r="807">
      <c t="s" s="7" r="A807">
        <v>201</v>
      </c>
      <c s="7" r="B807">
        <v>834</v>
      </c>
      <c s="30" r="C807">
        <v>21</v>
      </c>
      <c t="s" s="30" r="D807">
        <v>116</v>
      </c>
      <c t="s" s="30" r="E807">
        <v>4</v>
      </c>
      <c t="s" s="30" r="F807">
        <v>4</v>
      </c>
      <c t="s" s="30" r="G807">
        <v>220</v>
      </c>
      <c t="str" s="12" r="H807">
        <f>HYPERLINK("http://sofifa.com/en/fifa13winter/player/148569-omer-toprak","O. Toprak")</f>
        <v>O. Toprak</v>
      </c>
      <c s="30" r="I807">
        <v>76</v>
      </c>
      <c t="s" s="30" r="J807">
        <v>113</v>
      </c>
      <c t="s" s="30" r="K807">
        <v>173</v>
      </c>
      <c t="s" s="30" r="L807">
        <v>108</v>
      </c>
      <c s="30" r="M807">
        <v>23</v>
      </c>
      <c s="26" r="N807">
        <v>5.1</v>
      </c>
      <c s="23" r="O807">
        <v>0.014</v>
      </c>
      <c s="7" r="P807"/>
      <c s="7" r="Q807"/>
      <c s="7" r="R807">
        <f>IF((P807&gt;0),O807,0)</f>
        <v>0</v>
      </c>
      <c t="str" r="S807">
        <f>CONCATENATE(F807,E807)</f>
        <v>NON FTLNON FTL</v>
      </c>
    </row>
    <row r="808">
      <c t="s" s="7" r="A808">
        <v>201</v>
      </c>
      <c s="7" r="B808">
        <v>835</v>
      </c>
      <c s="30" r="C808">
        <v>24</v>
      </c>
      <c t="s" s="30" r="D808">
        <v>117</v>
      </c>
      <c t="s" s="30" r="E808">
        <v>4</v>
      </c>
      <c t="s" s="30" r="F808">
        <v>4</v>
      </c>
      <c t="s" s="30" r="G808">
        <v>220</v>
      </c>
      <c t="str" s="12" r="H808">
        <f>HYPERLINK("http://sofifa.com/en/fifa13winter/player/146888-michal-kadlec","M. Kadlec")</f>
        <v>M. Kadlec</v>
      </c>
      <c s="30" r="I808">
        <v>76</v>
      </c>
      <c t="s" s="30" r="J808">
        <v>117</v>
      </c>
      <c t="s" s="30" r="K808">
        <v>132</v>
      </c>
      <c t="s" s="30" r="L808">
        <v>137</v>
      </c>
      <c s="30" r="M808">
        <v>27</v>
      </c>
      <c s="26" r="N808">
        <v>4.5</v>
      </c>
      <c s="23" r="O808">
        <v>0.015</v>
      </c>
      <c s="7" r="P808"/>
      <c s="7" r="Q808"/>
      <c s="7" r="R808">
        <f>IF((P808&gt;0),O808,0)</f>
        <v>0</v>
      </c>
      <c t="str" r="S808">
        <f>CONCATENATE(F808,E808)</f>
        <v>NON FTLNON FTL</v>
      </c>
    </row>
    <row r="809">
      <c t="s" s="7" r="A809">
        <v>201</v>
      </c>
      <c s="7" r="B809">
        <v>836</v>
      </c>
      <c s="30" r="C809">
        <v>8</v>
      </c>
      <c t="s" s="30" r="D809">
        <v>123</v>
      </c>
      <c t="s" s="30" r="E809">
        <v>4</v>
      </c>
      <c t="s" s="30" r="F809">
        <v>4</v>
      </c>
      <c t="s" s="30" r="G809">
        <v>220</v>
      </c>
      <c t="str" s="12" r="H809">
        <f>HYPERLINK("http://sofifa.com/en/fifa13winter/player/148484-lars-bender","L. Bender")</f>
        <v>L. Bender</v>
      </c>
      <c s="30" r="I809">
        <v>82</v>
      </c>
      <c t="s" s="30" r="J809">
        <v>154</v>
      </c>
      <c t="s" s="30" r="K809">
        <v>167</v>
      </c>
      <c t="s" s="30" r="L809">
        <v>138</v>
      </c>
      <c s="30" r="M809">
        <v>23</v>
      </c>
      <c s="26" r="N809">
        <v>14.2</v>
      </c>
      <c s="23" r="O809">
        <v>0.051</v>
      </c>
      <c s="7" r="P809"/>
      <c s="7" r="Q809"/>
      <c s="7" r="R809">
        <f>IF((P809&gt;0),O809,0)</f>
        <v>0</v>
      </c>
      <c t="str" r="S809">
        <f>CONCATENATE(F809,E809)</f>
        <v>NON FTLNON FTL</v>
      </c>
    </row>
    <row r="810">
      <c t="s" s="7" r="A810">
        <v>201</v>
      </c>
      <c s="7" r="B810">
        <v>837</v>
      </c>
      <c s="30" r="C810">
        <v>3</v>
      </c>
      <c t="s" s="30" r="D810">
        <v>124</v>
      </c>
      <c t="s" s="30" r="E810">
        <v>4</v>
      </c>
      <c t="s" s="30" r="F810">
        <v>4</v>
      </c>
      <c t="s" s="30" r="G810">
        <v>220</v>
      </c>
      <c t="str" s="12" r="H810">
        <f>HYPERLINK("http://sofifa.com/en/fifa13winter/player/148368-stefan-reinartz","S. Reinartz")</f>
        <v>S. Reinartz</v>
      </c>
      <c s="30" r="I810">
        <v>77</v>
      </c>
      <c t="s" s="30" r="J810">
        <v>154</v>
      </c>
      <c t="s" s="30" r="K810">
        <v>169</v>
      </c>
      <c t="s" s="30" r="L810">
        <v>108</v>
      </c>
      <c s="30" r="M810">
        <v>23</v>
      </c>
      <c s="26" r="N810">
        <v>5.6</v>
      </c>
      <c s="23" r="O810">
        <v>0.016</v>
      </c>
      <c s="7" r="P810"/>
      <c s="7" r="Q810"/>
      <c s="7" r="R810">
        <f>IF((P810&gt;0),O810,0)</f>
        <v>0</v>
      </c>
      <c t="str" r="S810">
        <f>CONCATENATE(F810,E810)</f>
        <v>NON FTLNON FTL</v>
      </c>
    </row>
    <row r="811">
      <c t="s" s="7" r="A811">
        <v>201</v>
      </c>
      <c s="7" r="B811">
        <v>838</v>
      </c>
      <c s="30" r="C811">
        <v>6</v>
      </c>
      <c t="s" s="30" r="D811">
        <v>126</v>
      </c>
      <c t="s" s="30" r="E811">
        <v>4</v>
      </c>
      <c t="s" s="30" r="F811">
        <v>4</v>
      </c>
      <c t="s" s="30" r="G811">
        <v>220</v>
      </c>
      <c t="str" s="12" r="H811">
        <f>HYPERLINK("http://sofifa.com/en/fifa13winter/player/145831-simon-rolfes","S. Rolfes")</f>
        <v>S. Rolfes</v>
      </c>
      <c s="30" r="I811">
        <v>79</v>
      </c>
      <c t="s" s="30" r="J811">
        <v>154</v>
      </c>
      <c t="s" s="30" r="K811">
        <v>144</v>
      </c>
      <c t="s" s="30" r="L811">
        <v>108</v>
      </c>
      <c s="30" r="M811">
        <v>30</v>
      </c>
      <c s="26" r="N811">
        <v>6.1</v>
      </c>
      <c s="23" r="O811">
        <v>0.025</v>
      </c>
      <c s="7" r="P811"/>
      <c s="7" r="Q811"/>
      <c s="7" r="R811">
        <f>IF((P811&gt;0),O811,0)</f>
        <v>0</v>
      </c>
      <c t="str" r="S811">
        <f>CONCATENATE(F811,E811)</f>
        <v>NON FTLNON FTL</v>
      </c>
    </row>
    <row r="812">
      <c t="s" s="7" r="A812">
        <v>201</v>
      </c>
      <c s="7" r="B812">
        <v>839</v>
      </c>
      <c s="30" r="C812">
        <v>27</v>
      </c>
      <c t="s" s="30" r="D812">
        <v>221</v>
      </c>
      <c t="s" s="30" r="E812">
        <v>4</v>
      </c>
      <c t="s" s="30" r="F812">
        <v>4</v>
      </c>
      <c t="s" s="30" r="G812">
        <v>220</v>
      </c>
      <c t="str" s="12" r="H812">
        <f>HYPERLINK("http://sofifa.com/en/fifa13winter/player/147798-gonzalo-castro","G. Castro")</f>
        <v>G. Castro</v>
      </c>
      <c s="30" r="I812">
        <v>80</v>
      </c>
      <c t="s" s="30" r="J812">
        <v>120</v>
      </c>
      <c t="s" s="30" r="K812">
        <v>195</v>
      </c>
      <c t="s" s="30" r="L812">
        <v>160</v>
      </c>
      <c s="30" r="M812">
        <v>25</v>
      </c>
      <c s="26" r="N812">
        <v>10.1</v>
      </c>
      <c s="23" r="O812">
        <v>0.03</v>
      </c>
      <c s="7" r="P812"/>
      <c s="7" r="Q812"/>
      <c s="7" r="R812">
        <f>IF((P812&gt;0),O812,0)</f>
        <v>0</v>
      </c>
      <c t="str" r="S812">
        <f>CONCATENATE(F812,E812)</f>
        <v>NON FTLNON FTL</v>
      </c>
    </row>
    <row r="813">
      <c t="s" s="7" r="A813">
        <v>201</v>
      </c>
      <c s="7" r="B813">
        <v>840</v>
      </c>
      <c s="30" r="C813">
        <v>9</v>
      </c>
      <c t="s" s="30" r="D813">
        <v>222</v>
      </c>
      <c t="s" s="30" r="E813">
        <v>4</v>
      </c>
      <c t="s" s="30" r="F813">
        <v>4</v>
      </c>
      <c t="s" s="30" r="G813">
        <v>220</v>
      </c>
      <c t="str" s="12" r="H813">
        <f>HYPERLINK("http://sofifa.com/en/fifa13winter/player/149042-andre-schurrle","A. Schürrle")</f>
        <v>A. Schürrle</v>
      </c>
      <c s="30" r="I813">
        <v>80</v>
      </c>
      <c t="s" s="30" r="J813">
        <v>128</v>
      </c>
      <c t="s" s="30" r="K813">
        <v>167</v>
      </c>
      <c t="s" s="30" r="L813">
        <v>160</v>
      </c>
      <c s="30" r="M813">
        <v>21</v>
      </c>
      <c s="26" r="N813">
        <v>13.2</v>
      </c>
      <c s="23" r="O813">
        <v>0.026</v>
      </c>
      <c s="7" r="P813"/>
      <c s="7" r="Q813"/>
      <c s="7" r="R813">
        <f>IF((P813&gt;0),O813,0)</f>
        <v>0</v>
      </c>
      <c t="str" r="S813">
        <f>CONCATENATE(F813,E813)</f>
        <v>NON FTLNON FTL</v>
      </c>
    </row>
    <row r="814">
      <c t="s" s="7" r="A814">
        <v>201</v>
      </c>
      <c s="7" r="B814">
        <v>841</v>
      </c>
      <c s="30" r="C814">
        <v>11</v>
      </c>
      <c t="s" s="30" r="D814">
        <v>129</v>
      </c>
      <c t="s" s="30" r="E814">
        <v>4</v>
      </c>
      <c t="s" s="30" r="F814">
        <v>4</v>
      </c>
      <c t="s" s="30" r="G814">
        <v>220</v>
      </c>
      <c t="str" s="12" r="H814">
        <f>HYPERLINK("http://sofifa.com/en/fifa13winter/player/146565-stefan-kiessling","S. Kießling")</f>
        <v>S. Kießling</v>
      </c>
      <c s="30" r="I814">
        <v>80</v>
      </c>
      <c t="s" s="30" r="J814">
        <v>129</v>
      </c>
      <c t="s" s="30" r="K814">
        <v>144</v>
      </c>
      <c t="s" s="30" r="L814">
        <v>153</v>
      </c>
      <c s="30" r="M814">
        <v>28</v>
      </c>
      <c s="26" r="N814">
        <v>11.9</v>
      </c>
      <c s="23" r="O814">
        <v>0.031</v>
      </c>
      <c s="7" r="P814"/>
      <c s="7" r="Q814"/>
      <c s="7" r="R814">
        <f>IF((P814&gt;0),O814,0)</f>
        <v>0</v>
      </c>
      <c t="str" r="S814">
        <f>CONCATENATE(F814,E814)</f>
        <v>NON FTLNON FTL</v>
      </c>
    </row>
    <row r="815">
      <c t="s" s="7" r="A815">
        <v>201</v>
      </c>
      <c s="7" r="B815">
        <v>842</v>
      </c>
      <c s="30" r="C815">
        <v>16</v>
      </c>
      <c t="s" s="30" r="D815">
        <v>136</v>
      </c>
      <c t="s" s="30" r="E815">
        <v>4</v>
      </c>
      <c t="s" s="30" r="F815">
        <v>4</v>
      </c>
      <c t="s" s="30" r="G815">
        <v>220</v>
      </c>
      <c t="str" s="12" r="H815">
        <f>HYPERLINK("http://sofifa.com/en/fifa13winter/player/150252-arkadiusz-milik","A. Milik")</f>
        <v>A. Milik</v>
      </c>
      <c s="30" r="I815">
        <v>68</v>
      </c>
      <c t="s" s="30" r="J815">
        <v>129</v>
      </c>
      <c t="s" s="30" r="K815">
        <v>169</v>
      </c>
      <c t="s" s="30" r="L815">
        <v>158</v>
      </c>
      <c s="30" r="M815">
        <v>18</v>
      </c>
      <c s="26" r="N815">
        <v>2.2</v>
      </c>
      <c s="23" r="O815">
        <v>0.005</v>
      </c>
      <c s="7" r="P815"/>
      <c s="7" r="Q815"/>
      <c s="7" r="R815">
        <f>IF((P815&gt;0),O815,0)</f>
        <v>0</v>
      </c>
      <c t="str" r="S815">
        <f>CONCATENATE(F815,E815)</f>
        <v>NON FTLNON FTL</v>
      </c>
    </row>
    <row r="816">
      <c t="s" s="7" r="A816">
        <v>201</v>
      </c>
      <c s="7" r="B816">
        <v>843</v>
      </c>
      <c s="30" r="C816">
        <v>31</v>
      </c>
      <c t="s" s="30" r="D816">
        <v>136</v>
      </c>
      <c t="s" s="30" r="E816">
        <v>4</v>
      </c>
      <c t="s" s="30" r="F816">
        <v>4</v>
      </c>
      <c t="s" s="30" r="G816">
        <v>220</v>
      </c>
      <c t="str" s="12" r="H816">
        <f>HYPERLINK("http://sofifa.com/en/fifa13winter/player/150224-dominik-kohr","D. Kohr")</f>
        <v>D. Kohr</v>
      </c>
      <c s="30" r="I816">
        <v>65</v>
      </c>
      <c t="s" s="30" r="J816">
        <v>154</v>
      </c>
      <c t="s" s="30" r="K816">
        <v>110</v>
      </c>
      <c t="s" s="30" r="L816">
        <v>151</v>
      </c>
      <c s="30" r="M816">
        <v>18</v>
      </c>
      <c s="26" r="N816">
        <v>1.1</v>
      </c>
      <c s="23" r="O816">
        <v>0.004</v>
      </c>
      <c s="7" r="P816"/>
      <c s="7" r="Q816"/>
      <c s="7" r="R816">
        <f>IF((P816&gt;0),O816,0)</f>
        <v>0</v>
      </c>
      <c t="str" r="S816">
        <f>CONCATENATE(F816,E816)</f>
        <v>NON FTLNON FTL</v>
      </c>
    </row>
    <row r="817">
      <c t="s" s="7" r="A817">
        <v>201</v>
      </c>
      <c s="7" r="B817">
        <v>844</v>
      </c>
      <c s="30" r="C817">
        <v>7</v>
      </c>
      <c t="s" s="30" r="D817">
        <v>136</v>
      </c>
      <c t="s" s="30" r="E817">
        <v>4</v>
      </c>
      <c t="s" s="30" r="F817">
        <v>4</v>
      </c>
      <c t="s" s="30" r="G817">
        <v>220</v>
      </c>
      <c t="str" s="12" r="H817">
        <f>HYPERLINK("http://sofifa.com/en/fifa13winter/player/148279-antenor-junior-fernandes-da-silva","Júnior Fernandes")</f>
        <v>Júnior Fernandes</v>
      </c>
      <c s="30" r="I817">
        <v>73</v>
      </c>
      <c t="s" s="30" r="J817">
        <v>129</v>
      </c>
      <c t="s" s="30" r="K817">
        <v>150</v>
      </c>
      <c t="s" s="30" r="L817">
        <v>161</v>
      </c>
      <c s="30" r="M817">
        <v>23</v>
      </c>
      <c s="26" r="N817">
        <v>3.7</v>
      </c>
      <c s="23" r="O817">
        <v>0.009</v>
      </c>
      <c s="7" r="P817"/>
      <c s="7" r="Q817"/>
      <c s="7" r="R817">
        <f>IF((P817&gt;0),O817,0)</f>
        <v>0</v>
      </c>
      <c t="str" r="S817">
        <f>CONCATENATE(F817,E817)</f>
        <v>NON FTLNON FTL</v>
      </c>
    </row>
    <row r="818">
      <c t="s" s="7" r="A818">
        <v>201</v>
      </c>
      <c s="7" r="B818">
        <v>845</v>
      </c>
      <c s="30" r="C818">
        <v>30</v>
      </c>
      <c t="s" s="30" r="D818">
        <v>136</v>
      </c>
      <c t="s" s="30" r="E818">
        <v>4</v>
      </c>
      <c t="s" s="30" r="F818">
        <v>4</v>
      </c>
      <c t="s" s="30" r="G818">
        <v>220</v>
      </c>
      <c t="str" s="12" r="H818">
        <f>HYPERLINK("http://sofifa.com/en/fifa13winter/player/149871-kolja-pusch","K. Pusch")</f>
        <v>K. Pusch</v>
      </c>
      <c s="30" r="I818">
        <v>54</v>
      </c>
      <c t="s" s="30" r="J818">
        <v>124</v>
      </c>
      <c t="s" s="30" r="K818">
        <v>150</v>
      </c>
      <c t="s" s="30" r="L818">
        <v>137</v>
      </c>
      <c s="30" r="M818">
        <v>19</v>
      </c>
      <c s="26" r="N818">
        <v>0.1</v>
      </c>
      <c s="23" r="O818">
        <v>0.002</v>
      </c>
      <c s="7" r="P818"/>
      <c s="7" r="Q818"/>
      <c s="7" r="R818">
        <f>IF((P818&gt;0),O818,0)</f>
        <v>0</v>
      </c>
      <c t="str" r="S818">
        <f>CONCATENATE(F818,E818)</f>
        <v>NON FTLNON FTL</v>
      </c>
    </row>
    <row r="819">
      <c t="s" s="7" r="A819">
        <v>201</v>
      </c>
      <c s="7" r="B819">
        <v>846</v>
      </c>
      <c s="30" r="C819">
        <v>38</v>
      </c>
      <c t="s" s="30" r="D819">
        <v>136</v>
      </c>
      <c t="s" s="30" r="E819">
        <v>4</v>
      </c>
      <c t="s" s="30" r="F819">
        <v>4</v>
      </c>
      <c t="s" s="30" r="G819">
        <v>220</v>
      </c>
      <c t="str" s="12" r="H819">
        <f>HYPERLINK("http://sofifa.com/en/fifa13winter/player/148830-karim-bellarabi","K. Bellarabi")</f>
        <v>K. Bellarabi</v>
      </c>
      <c s="30" r="I819">
        <v>72</v>
      </c>
      <c t="s" s="30" r="J819">
        <v>120</v>
      </c>
      <c t="s" s="30" r="K819">
        <v>110</v>
      </c>
      <c t="s" s="30" r="L819">
        <v>137</v>
      </c>
      <c s="30" r="M819">
        <v>22</v>
      </c>
      <c s="26" r="N819">
        <v>2.9</v>
      </c>
      <c s="23" r="O819">
        <v>0.008</v>
      </c>
      <c s="7" r="P819"/>
      <c s="7" r="Q819"/>
      <c s="7" r="R819">
        <f>IF((P819&gt;0),O819,0)</f>
        <v>0</v>
      </c>
      <c t="str" r="S819">
        <f>CONCATENATE(F819,E819)</f>
        <v>NON FTLNON FTL</v>
      </c>
    </row>
    <row r="820">
      <c t="s" s="7" r="A820">
        <v>201</v>
      </c>
      <c s="7" r="B820">
        <v>847</v>
      </c>
      <c s="30" r="C820">
        <v>5</v>
      </c>
      <c t="s" s="30" r="D820">
        <v>136</v>
      </c>
      <c t="s" s="30" r="E820">
        <v>4</v>
      </c>
      <c t="s" s="30" r="F820">
        <v>4</v>
      </c>
      <c t="s" s="30" r="G820">
        <v>220</v>
      </c>
      <c t="str" s="12" r="H820">
        <f>HYPERLINK("http://sofifa.com/en/fifa13winter/player/144970-manuel-friedrich","M. Friedrich")</f>
        <v>M. Friedrich</v>
      </c>
      <c s="30" r="I820">
        <v>74</v>
      </c>
      <c t="s" s="30" r="J820">
        <v>113</v>
      </c>
      <c t="s" s="30" r="K820">
        <v>169</v>
      </c>
      <c t="s" s="30" r="L820">
        <v>192</v>
      </c>
      <c s="30" r="M820">
        <v>32</v>
      </c>
      <c s="26" r="N820">
        <v>2.5</v>
      </c>
      <c s="23" r="O820">
        <v>0.013</v>
      </c>
      <c s="7" r="P820"/>
      <c s="7" r="Q820"/>
      <c s="7" r="R820">
        <f>IF((P820&gt;0),O820,0)</f>
        <v>0</v>
      </c>
      <c t="str" r="S820">
        <f>CONCATENATE(F820,E820)</f>
        <v>NON FTLNON FTL</v>
      </c>
    </row>
    <row r="821">
      <c t="s" s="7" r="A821">
        <v>201</v>
      </c>
      <c s="7" r="B821">
        <v>848</v>
      </c>
      <c s="30" r="C821">
        <v>17</v>
      </c>
      <c t="s" s="30" r="D821">
        <v>136</v>
      </c>
      <c t="s" s="30" r="E821">
        <v>4</v>
      </c>
      <c t="s" s="30" r="F821">
        <v>4</v>
      </c>
      <c t="s" s="30" r="G821">
        <v>220</v>
      </c>
      <c t="str" s="12" r="H821">
        <f>HYPERLINK("http://sofifa.com/en/fifa13winter/player/147668-sebastian-boenisch","S. Boenisch")</f>
        <v>S. Boenisch</v>
      </c>
      <c s="30" r="I821">
        <v>73</v>
      </c>
      <c t="s" s="30" r="J821">
        <v>117</v>
      </c>
      <c t="s" s="30" r="K821">
        <v>144</v>
      </c>
      <c t="s" s="30" r="L821">
        <v>179</v>
      </c>
      <c s="30" r="M821">
        <v>25</v>
      </c>
      <c s="26" r="N821">
        <v>2.8</v>
      </c>
      <c s="23" r="O821">
        <v>0.01</v>
      </c>
      <c s="7" r="P821"/>
      <c s="7" r="Q821"/>
      <c s="7" r="R821">
        <f>IF((P821&gt;0),O821,0)</f>
        <v>0</v>
      </c>
      <c t="str" r="S821">
        <f>CONCATENATE(F821,E821)</f>
        <v>NON FTLNON FTL</v>
      </c>
    </row>
    <row r="822">
      <c t="s" s="7" r="A822">
        <v>201</v>
      </c>
      <c s="7" r="B822">
        <v>849</v>
      </c>
      <c s="30" r="C822">
        <v>18</v>
      </c>
      <c t="s" s="30" r="D822">
        <v>136</v>
      </c>
      <c t="s" s="30" r="E822">
        <v>4</v>
      </c>
      <c t="s" s="30" r="F822">
        <v>4</v>
      </c>
      <c t="s" s="30" r="G822">
        <v>220</v>
      </c>
      <c t="str" s="12" r="H822">
        <f>HYPERLINK("http://sofifa.com/en/fifa13winter/player/148032-sidney-sam","S. Sam")</f>
        <v>S. Sam</v>
      </c>
      <c s="30" r="I822">
        <v>77</v>
      </c>
      <c t="s" s="30" r="J822">
        <v>120</v>
      </c>
      <c t="s" s="30" r="K822">
        <v>182</v>
      </c>
      <c t="s" s="30" r="L822">
        <v>142</v>
      </c>
      <c s="30" r="M822">
        <v>24</v>
      </c>
      <c s="26" r="N822">
        <v>7</v>
      </c>
      <c s="23" r="O822">
        <v>0.017</v>
      </c>
      <c s="7" r="P822"/>
      <c s="7" r="Q822"/>
      <c s="7" r="R822">
        <f>IF((P822&gt;0),O822,0)</f>
        <v>0</v>
      </c>
      <c t="str" r="S822">
        <f>CONCATENATE(F822,E822)</f>
        <v>NON FTLNON FTL</v>
      </c>
    </row>
    <row r="823">
      <c t="s" s="7" r="A823">
        <v>201</v>
      </c>
      <c s="7" r="B823">
        <v>850</v>
      </c>
      <c s="30" r="C823">
        <v>14</v>
      </c>
      <c t="s" s="30" r="D823">
        <v>136</v>
      </c>
      <c t="s" s="30" r="E823">
        <v>4</v>
      </c>
      <c t="s" s="30" r="F823">
        <v>4</v>
      </c>
      <c t="s" s="30" r="G823">
        <v>220</v>
      </c>
      <c t="str" s="12" r="H823">
        <f>HYPERLINK("http://sofifa.com/en/fifa13winter/player/147432-hajime-hosogai","H. Hosogai")</f>
        <v>H. Hosogai</v>
      </c>
      <c s="30" r="I823">
        <v>74</v>
      </c>
      <c t="s" s="30" r="J823">
        <v>154</v>
      </c>
      <c t="s" s="30" r="K823">
        <v>159</v>
      </c>
      <c t="s" s="30" r="L823">
        <v>111</v>
      </c>
      <c s="30" r="M823">
        <v>26</v>
      </c>
      <c s="26" r="N823">
        <v>3.1</v>
      </c>
      <c s="23" r="O823">
        <v>0.011</v>
      </c>
      <c s="7" r="P823"/>
      <c s="7" r="Q823"/>
      <c s="7" r="R823">
        <f>IF((P823&gt;0),O823,0)</f>
        <v>0</v>
      </c>
      <c t="str" r="S823">
        <f>CONCATENATE(F823,E823)</f>
        <v>NON FTLNON FTL</v>
      </c>
    </row>
    <row r="824">
      <c t="s" s="7" r="A824">
        <v>201</v>
      </c>
      <c s="7" r="B824">
        <v>851</v>
      </c>
      <c s="30" r="C824">
        <v>2</v>
      </c>
      <c t="s" s="30" r="D824">
        <v>136</v>
      </c>
      <c t="s" s="30" r="E824">
        <v>4</v>
      </c>
      <c t="s" s="30" r="F824">
        <v>4</v>
      </c>
      <c t="s" s="30" r="G824">
        <v>220</v>
      </c>
      <c t="str" s="12" r="H824">
        <f>HYPERLINK("http://sofifa.com/en/fifa13winter/player/148237-daniel-schwaab","D. Schwaab")</f>
        <v>D. Schwaab</v>
      </c>
      <c s="30" r="I824">
        <v>74</v>
      </c>
      <c t="s" s="30" r="J824">
        <v>113</v>
      </c>
      <c t="s" s="30" r="K824">
        <v>173</v>
      </c>
      <c t="s" s="30" r="L824">
        <v>137</v>
      </c>
      <c s="30" r="M824">
        <v>24</v>
      </c>
      <c s="26" r="N824">
        <v>3.4</v>
      </c>
      <c s="23" r="O824">
        <v>0.011</v>
      </c>
      <c s="7" r="P824"/>
      <c s="7" r="Q824"/>
      <c s="7" r="R824">
        <f>IF((P824&gt;0),O824,0)</f>
        <v>0</v>
      </c>
      <c t="str" r="S824">
        <f>CONCATENATE(F824,E824)</f>
        <v>NON FTLNON FTL</v>
      </c>
    </row>
    <row r="825">
      <c t="s" s="7" r="A825">
        <v>201</v>
      </c>
      <c s="7" r="B825">
        <v>852</v>
      </c>
      <c s="30" r="C825">
        <v>33</v>
      </c>
      <c t="s" s="30" r="D825">
        <v>136</v>
      </c>
      <c t="s" s="30" r="E825">
        <v>4</v>
      </c>
      <c t="s" s="30" r="F825">
        <v>4</v>
      </c>
      <c t="s" s="30" r="G825">
        <v>220</v>
      </c>
      <c t="str" s="12" r="H825">
        <f>HYPERLINK("http://sofifa.com/en/fifa13winter/player/146675-michael-rensing","M. Rensing")</f>
        <v>M. Rensing</v>
      </c>
      <c s="30" r="I825">
        <v>77</v>
      </c>
      <c t="s" s="30" r="J825">
        <v>106</v>
      </c>
      <c t="s" s="30" r="K825">
        <v>152</v>
      </c>
      <c t="s" s="30" r="L825">
        <v>135</v>
      </c>
      <c s="30" r="M825">
        <v>28</v>
      </c>
      <c s="26" r="N825">
        <v>4.5</v>
      </c>
      <c s="23" r="O825">
        <v>0.017</v>
      </c>
      <c s="7" r="P825"/>
      <c s="7" r="Q825"/>
      <c s="7" r="R825">
        <f>IF((P825&gt;0),O825,0)</f>
        <v>0</v>
      </c>
      <c t="str" r="S825">
        <f>CONCATENATE(F825,E825)</f>
        <v>NON FTLNON FTL</v>
      </c>
    </row>
    <row r="826">
      <c t="s" s="7" r="A826">
        <v>201</v>
      </c>
      <c s="7" r="B826">
        <v>853</v>
      </c>
      <c s="30" r="C826">
        <v>13</v>
      </c>
      <c t="s" s="30" r="D826">
        <v>136</v>
      </c>
      <c t="s" s="30" r="E826">
        <v>4</v>
      </c>
      <c t="s" s="30" r="F826">
        <v>4</v>
      </c>
      <c t="s" s="30" r="G826">
        <v>220</v>
      </c>
      <c t="str" s="12" r="H826">
        <f>HYPERLINK("http://sofifa.com/en/fifa13winter/player/148023-jens-hegeler","J. Hegeler")</f>
        <v>J. Hegeler</v>
      </c>
      <c s="30" r="I826">
        <v>73</v>
      </c>
      <c t="s" s="30" r="J826">
        <v>124</v>
      </c>
      <c t="s" s="30" r="K826">
        <v>107</v>
      </c>
      <c t="s" s="30" r="L826">
        <v>180</v>
      </c>
      <c s="30" r="M826">
        <v>24</v>
      </c>
      <c s="26" r="N826">
        <v>3</v>
      </c>
      <c s="23" r="O826">
        <v>0.01</v>
      </c>
      <c s="7" r="P826"/>
      <c s="7" r="Q826"/>
      <c s="7" r="R826">
        <f>IF((P826&gt;0),O826,0)</f>
        <v>0</v>
      </c>
      <c t="str" r="S826">
        <f>CONCATENATE(F826,E826)</f>
        <v>NON FTLNON FTL</v>
      </c>
    </row>
    <row r="827">
      <c t="s" s="7" r="A827">
        <v>201</v>
      </c>
      <c s="7" r="B827">
        <v>854</v>
      </c>
      <c s="30" r="C827">
        <v>19</v>
      </c>
      <c t="s" s="30" r="D827">
        <v>147</v>
      </c>
      <c t="s" s="30" r="E827">
        <v>4</v>
      </c>
      <c t="s" s="30" r="F827">
        <v>4</v>
      </c>
      <c t="s" s="30" r="G827">
        <v>220</v>
      </c>
      <c t="str" s="12" r="H827">
        <f>HYPERLINK("http://sofifa.com/en/fifa13winter/player/150321-okan-aydin","O. Aydin")</f>
        <v>O. Aydin</v>
      </c>
      <c s="30" r="I827">
        <v>63</v>
      </c>
      <c t="s" s="30" r="J827">
        <v>170</v>
      </c>
      <c t="s" s="30" r="K827">
        <v>195</v>
      </c>
      <c t="s" s="30" r="L827">
        <v>164</v>
      </c>
      <c s="30" r="M827">
        <v>18</v>
      </c>
      <c s="26" r="N827">
        <v>1</v>
      </c>
      <c s="23" r="O827">
        <v>0.003</v>
      </c>
      <c s="7" r="P827"/>
      <c s="7" r="Q827"/>
      <c s="7" r="R827">
        <f>IF((P827&gt;0),O827,0)</f>
        <v>0</v>
      </c>
      <c t="str" r="S827">
        <f>CONCATENATE(F827,E827)</f>
        <v>NON FTLNON FTL</v>
      </c>
    </row>
    <row r="828">
      <c t="s" s="7" r="A828">
        <v>201</v>
      </c>
      <c s="7" r="B828">
        <v>855</v>
      </c>
      <c s="30" r="C828">
        <v>36</v>
      </c>
      <c t="s" s="30" r="D828">
        <v>147</v>
      </c>
      <c t="s" s="30" r="E828">
        <v>4</v>
      </c>
      <c t="s" s="30" r="F828">
        <v>4</v>
      </c>
      <c t="s" s="30" r="G828">
        <v>220</v>
      </c>
      <c t="str" s="12" r="H828">
        <f>HYPERLINK("http://sofifa.com/en/fifa13winter/player/150037-niklas-lomb","N. Lomb")</f>
        <v>N. Lomb</v>
      </c>
      <c s="30" r="I828">
        <v>59</v>
      </c>
      <c t="s" s="30" r="J828">
        <v>106</v>
      </c>
      <c t="s" s="30" r="K828">
        <v>134</v>
      </c>
      <c t="s" s="30" r="L828">
        <v>156</v>
      </c>
      <c s="30" r="M828">
        <v>19</v>
      </c>
      <c s="26" r="N828">
        <v>0.4</v>
      </c>
      <c s="23" r="O828">
        <v>0.002</v>
      </c>
      <c s="7" r="P828"/>
      <c s="7" r="Q828"/>
      <c s="7" r="R828">
        <f>IF((P828&gt;0),O828,0)</f>
        <v>0</v>
      </c>
      <c t="str" r="S828">
        <f>CONCATENATE(F828,E828)</f>
        <v>NON FTLNON FTL</v>
      </c>
    </row>
    <row r="829">
      <c t="s" s="7" r="A829">
        <v>201</v>
      </c>
      <c s="7" r="B829">
        <v>856</v>
      </c>
      <c s="30" r="C829">
        <v>29</v>
      </c>
      <c t="s" s="30" r="D829">
        <v>147</v>
      </c>
      <c t="s" s="30" r="E829">
        <v>4</v>
      </c>
      <c t="s" s="30" r="F829">
        <v>4</v>
      </c>
      <c t="s" s="30" r="G829">
        <v>220</v>
      </c>
      <c t="str" s="12" r="H829">
        <f>HYPERLINK("http://sofifa.com/en/fifa13winter/player/150058-luca-durholtz","L. Dürholtz")</f>
        <v>L. Dürholtz</v>
      </c>
      <c s="30" r="I829">
        <v>59</v>
      </c>
      <c t="s" s="30" r="J829">
        <v>128</v>
      </c>
      <c t="s" s="30" r="K829">
        <v>172</v>
      </c>
      <c t="s" s="30" r="L829">
        <v>149</v>
      </c>
      <c s="30" r="M829">
        <v>19</v>
      </c>
      <c s="26" r="N829">
        <v>0.5</v>
      </c>
      <c s="23" r="O829">
        <v>0.002</v>
      </c>
      <c s="7" r="P829"/>
      <c s="7" r="Q829"/>
      <c s="7" r="R829">
        <f>IF((P829&gt;0),O829,0)</f>
        <v>0</v>
      </c>
      <c t="str" r="S829">
        <f>CONCATENATE(F829,E829)</f>
        <v>NON FTLNON FTL</v>
      </c>
    </row>
    <row r="830">
      <c t="s" s="7" r="A830">
        <v>201</v>
      </c>
      <c s="7" r="B830">
        <v>857</v>
      </c>
      <c s="30" r="C830">
        <v>22</v>
      </c>
      <c t="s" s="30" r="D830">
        <v>147</v>
      </c>
      <c t="s" s="30" r="E830">
        <v>4</v>
      </c>
      <c t="s" s="30" r="F830">
        <v>4</v>
      </c>
      <c t="s" s="30" r="G830">
        <v>220</v>
      </c>
      <c t="str" s="12" r="H830">
        <f>HYPERLINK("http://sofifa.com/en/fifa13winter/player/145719-david-yelldell","D. Yelldell")</f>
        <v>D. Yelldell</v>
      </c>
      <c s="30" r="I830">
        <v>66</v>
      </c>
      <c t="s" s="30" r="J830">
        <v>106</v>
      </c>
      <c t="s" s="30" r="K830">
        <v>188</v>
      </c>
      <c t="s" s="30" r="L830">
        <v>175</v>
      </c>
      <c s="30" r="M830">
        <v>30</v>
      </c>
      <c s="26" r="N830">
        <v>0.8</v>
      </c>
      <c s="23" r="O830">
        <v>0.006</v>
      </c>
      <c s="7" r="P830"/>
      <c s="7" r="Q830"/>
      <c s="7" r="R830">
        <f>IF((P830&gt;0),O830,0)</f>
        <v>0</v>
      </c>
      <c t="str" r="S830">
        <f>CONCATENATE(F830,E830)</f>
        <v>NON FTLNON FTL</v>
      </c>
    </row>
    <row r="831">
      <c t="s" s="7" r="A831">
        <v>201</v>
      </c>
      <c s="7" r="B831">
        <v>858</v>
      </c>
      <c s="30" r="C831">
        <v>28</v>
      </c>
      <c t="s" s="30" r="D831">
        <v>147</v>
      </c>
      <c t="s" s="30" r="E831">
        <v>4</v>
      </c>
      <c t="s" s="30" r="F831">
        <v>4</v>
      </c>
      <c t="s" s="30" r="G831">
        <v>220</v>
      </c>
      <c t="str" s="12" r="H831">
        <f>HYPERLINK("http://sofifa.com/en/fifa13winter/player/149846-erik-zenga","E. Zenga")</f>
        <v>E. Zenga</v>
      </c>
      <c s="30" r="I831">
        <v>54</v>
      </c>
      <c t="s" s="30" r="J831">
        <v>124</v>
      </c>
      <c t="s" s="30" r="K831">
        <v>150</v>
      </c>
      <c t="s" s="30" r="L831">
        <v>137</v>
      </c>
      <c s="30" r="M831">
        <v>19</v>
      </c>
      <c s="26" r="N831">
        <v>0.1</v>
      </c>
      <c s="23" r="O831">
        <v>0.002</v>
      </c>
      <c s="7" r="P831"/>
      <c s="7" r="Q831"/>
      <c s="7" r="R831">
        <f>IF((P831&gt;0),O831,0)</f>
        <v>0</v>
      </c>
      <c t="str" r="S831">
        <f>CONCATENATE(F831,E831)</f>
        <v>NON FTLNON FTL</v>
      </c>
    </row>
    <row r="832">
      <c t="s" s="7" r="A832">
        <v>201</v>
      </c>
      <c s="7" r="B832">
        <v>859</v>
      </c>
      <c s="30" r="C832">
        <v>37</v>
      </c>
      <c t="s" s="30" r="D832">
        <v>147</v>
      </c>
      <c t="s" s="30" r="E832">
        <v>4</v>
      </c>
      <c t="s" s="30" r="F832">
        <v>4</v>
      </c>
      <c t="s" s="30" r="G832">
        <v>220</v>
      </c>
      <c t="str" s="12" r="H832">
        <f>HYPERLINK("http://sofifa.com/en/fifa13winter/player/149617-tobias-steffen","T. Steffen")</f>
        <v>T. Steffen</v>
      </c>
      <c s="30" r="I832">
        <v>60</v>
      </c>
      <c t="s" s="30" r="J832">
        <v>129</v>
      </c>
      <c t="s" s="30" r="K832">
        <v>182</v>
      </c>
      <c t="s" s="30" r="L832">
        <v>163</v>
      </c>
      <c s="30" r="M832">
        <v>20</v>
      </c>
      <c s="26" r="N832">
        <v>0.6</v>
      </c>
      <c s="23" r="O832">
        <v>0.003</v>
      </c>
      <c s="7" r="P832"/>
      <c s="7" r="Q832"/>
      <c s="7" r="R832">
        <f>IF((P832&gt;0),O832,0)</f>
        <v>0</v>
      </c>
      <c t="str" r="S832">
        <f>CONCATENATE(F832,E832)</f>
        <v>NON FTLNON FTL</v>
      </c>
    </row>
    <row r="833">
      <c t="s" s="7" r="A833">
        <v>201</v>
      </c>
      <c s="7" r="B833">
        <v>860</v>
      </c>
      <c s="30" r="C833">
        <v>40</v>
      </c>
      <c t="s" s="30" r="D833">
        <v>147</v>
      </c>
      <c t="s" s="30" r="E833">
        <v>4</v>
      </c>
      <c t="s" s="30" r="F833">
        <v>4</v>
      </c>
      <c t="s" s="30" r="G833">
        <v>220</v>
      </c>
      <c t="str" s="12" r="H833">
        <f>HYPERLINK("http://sofifa.com/en/fifa13winter/player/149319-julian-riedel","J. Riedel")</f>
        <v>J. Riedel</v>
      </c>
      <c s="30" r="I833">
        <v>55</v>
      </c>
      <c t="s" s="30" r="J833">
        <v>154</v>
      </c>
      <c t="s" s="30" r="K833">
        <v>110</v>
      </c>
      <c t="s" s="30" r="L833">
        <v>119</v>
      </c>
      <c s="30" r="M833">
        <v>21</v>
      </c>
      <c s="26" r="N833">
        <v>0.1</v>
      </c>
      <c s="23" r="O833">
        <v>0.002</v>
      </c>
      <c s="7" r="P833"/>
      <c s="7" r="Q833"/>
      <c s="7" r="R833">
        <f>IF((P833&gt;0),O833,0)</f>
        <v>0</v>
      </c>
      <c t="str" r="S833">
        <f>CONCATENATE(F833,E833)</f>
        <v>NON FTLNON FTL</v>
      </c>
    </row>
    <row r="834">
      <c t="s" s="7" r="A834">
        <v>201</v>
      </c>
      <c s="7" r="B834">
        <v>861</v>
      </c>
      <c s="30" r="C834">
        <v>32</v>
      </c>
      <c t="s" s="30" r="D834">
        <v>147</v>
      </c>
      <c t="s" s="30" r="E834">
        <v>4</v>
      </c>
      <c t="s" s="30" r="F834">
        <v>4</v>
      </c>
      <c t="s" s="30" r="G834">
        <v>220</v>
      </c>
      <c t="str" s="12" r="H834">
        <f>HYPERLINK("http://sofifa.com/en/fifa13winter/player/150440-jonas-meffert","J. Meffert")</f>
        <v>J. Meffert</v>
      </c>
      <c s="30" r="I834">
        <v>59</v>
      </c>
      <c t="s" s="30" r="J834">
        <v>154</v>
      </c>
      <c t="s" s="30" r="K834">
        <v>145</v>
      </c>
      <c t="s" s="30" r="L834">
        <v>111</v>
      </c>
      <c s="30" r="M834">
        <v>17</v>
      </c>
      <c s="26" r="N834">
        <v>0.4</v>
      </c>
      <c s="23" r="O834">
        <v>0.002</v>
      </c>
      <c s="7" r="P834"/>
      <c s="7" r="Q834"/>
      <c s="7" r="R834">
        <f>IF((P834&gt;0),O834,0)</f>
        <v>0</v>
      </c>
      <c t="str" r="S834">
        <f>CONCATENATE(F834,E834)</f>
        <v>NON FTLNON FTL</v>
      </c>
    </row>
    <row r="835">
      <c t="s" s="7" r="A835">
        <v>201</v>
      </c>
      <c s="7" r="B835">
        <v>862</v>
      </c>
      <c s="30" r="C835">
        <v>16</v>
      </c>
      <c t="s" s="30" r="D835">
        <v>106</v>
      </c>
      <c t="s" s="30" r="E835">
        <v>4</v>
      </c>
      <c t="s" s="30" r="F835">
        <v>4</v>
      </c>
      <c t="s" s="30" r="G835">
        <v>223</v>
      </c>
      <c t="str" s="12" r="H835">
        <f>HYPERLINK("http://sofifa.com/en/fifa13winter/player/145272-steeve-elana","S. Elana")</f>
        <v>S. Elana</v>
      </c>
      <c s="30" r="I835">
        <v>76</v>
      </c>
      <c t="s" s="30" r="J835">
        <v>106</v>
      </c>
      <c t="s" s="30" r="K835">
        <v>155</v>
      </c>
      <c t="s" s="30" r="L835">
        <v>179</v>
      </c>
      <c s="30" r="M835">
        <v>32</v>
      </c>
      <c s="26" r="N835">
        <v>3.1</v>
      </c>
      <c s="23" r="O835">
        <v>0.018</v>
      </c>
      <c s="7" r="P835"/>
      <c s="7" r="Q835"/>
      <c s="7" r="R835">
        <f>IF((P835&gt;0),O835,0)</f>
        <v>0</v>
      </c>
      <c t="str" r="S835">
        <f>CONCATENATE(F835,E835)</f>
        <v>NON FTLNON FTL</v>
      </c>
    </row>
    <row r="836">
      <c t="s" s="7" r="A836">
        <v>201</v>
      </c>
      <c s="7" r="B836">
        <v>863</v>
      </c>
      <c s="30" r="C836">
        <v>18</v>
      </c>
      <c t="s" s="30" r="D836">
        <v>109</v>
      </c>
      <c t="s" s="30" r="E836">
        <v>4</v>
      </c>
      <c t="s" s="30" r="F836">
        <v>4</v>
      </c>
      <c t="s" s="30" r="G836">
        <v>223</v>
      </c>
      <c t="str" s="12" r="H836">
        <f>HYPERLINK("http://sofifa.com/en/fifa13winter/player/146318-franck-beria","F. Béria")</f>
        <v>F. Béria</v>
      </c>
      <c s="30" r="I836">
        <v>75</v>
      </c>
      <c t="s" s="30" r="J836">
        <v>109</v>
      </c>
      <c t="s" s="30" r="K836">
        <v>159</v>
      </c>
      <c t="s" s="30" r="L836">
        <v>137</v>
      </c>
      <c s="30" r="M836">
        <v>29</v>
      </c>
      <c s="26" r="N836">
        <v>3.5</v>
      </c>
      <c s="23" r="O836">
        <v>0.014</v>
      </c>
      <c s="7" r="P836"/>
      <c s="7" r="Q836"/>
      <c s="7" r="R836">
        <f>IF((P836&gt;0),O836,0)</f>
        <v>0</v>
      </c>
      <c t="str" r="S836">
        <f>CONCATENATE(F836,E836)</f>
        <v>NON FTLNON FTL</v>
      </c>
    </row>
    <row r="837">
      <c t="s" s="7" r="A837">
        <v>201</v>
      </c>
      <c s="7" r="B837">
        <v>864</v>
      </c>
      <c s="30" r="C837">
        <v>22</v>
      </c>
      <c t="s" s="30" r="D837">
        <v>112</v>
      </c>
      <c t="s" s="30" r="E837">
        <v>4</v>
      </c>
      <c t="s" s="30" r="F837">
        <v>4</v>
      </c>
      <c t="s" s="30" r="G837">
        <v>223</v>
      </c>
      <c t="str" s="12" r="H837">
        <f>HYPERLINK("http://sofifa.com/en/fifa13winter/player/147077-aurelien-chedjou","A. Chedjou")</f>
        <v>A. Chedjou</v>
      </c>
      <c s="30" r="I837">
        <v>82</v>
      </c>
      <c t="s" s="30" r="J837">
        <v>113</v>
      </c>
      <c t="s" s="30" r="K837">
        <v>167</v>
      </c>
      <c t="s" s="30" r="L837">
        <v>180</v>
      </c>
      <c s="30" r="M837">
        <v>27</v>
      </c>
      <c s="26" r="N837">
        <v>14</v>
      </c>
      <c s="23" r="O837">
        <v>0.053</v>
      </c>
      <c s="7" r="P837"/>
      <c s="7" r="Q837"/>
      <c s="7" r="R837">
        <f>IF((P837&gt;0),O837,0)</f>
        <v>0</v>
      </c>
      <c t="str" r="S837">
        <f>CONCATENATE(F837,E837)</f>
        <v>NON FTLNON FTL</v>
      </c>
    </row>
    <row r="838">
      <c t="s" s="7" r="A838">
        <v>201</v>
      </c>
      <c s="7" r="B838">
        <v>865</v>
      </c>
      <c s="30" r="C838">
        <v>25</v>
      </c>
      <c t="s" s="30" r="D838">
        <v>116</v>
      </c>
      <c t="s" s="30" r="E838">
        <v>4</v>
      </c>
      <c t="s" s="30" r="F838">
        <v>4</v>
      </c>
      <c t="s" s="30" r="G838">
        <v>223</v>
      </c>
      <c t="str" s="12" r="H838">
        <f>HYPERLINK("http://sofifa.com/en/fifa13winter/player/146173-marko-basa","M. Baša")</f>
        <v>M. Baša</v>
      </c>
      <c s="30" r="I838">
        <v>77</v>
      </c>
      <c t="s" s="30" r="J838">
        <v>113</v>
      </c>
      <c t="s" s="30" r="K838">
        <v>169</v>
      </c>
      <c t="s" s="30" r="L838">
        <v>180</v>
      </c>
      <c s="30" r="M838">
        <v>29</v>
      </c>
      <c s="26" r="N838">
        <v>5</v>
      </c>
      <c s="23" r="O838">
        <v>0.018</v>
      </c>
      <c s="7" r="P838"/>
      <c s="7" r="Q838"/>
      <c s="7" r="R838">
        <f>IF((P838&gt;0),O838,0)</f>
        <v>0</v>
      </c>
      <c t="str" r="S838">
        <f>CONCATENATE(F838,E838)</f>
        <v>NON FTLNON FTL</v>
      </c>
    </row>
    <row r="839">
      <c t="s" s="7" r="A839">
        <v>201</v>
      </c>
      <c s="7" r="B839">
        <v>866</v>
      </c>
      <c s="30" r="C839">
        <v>3</v>
      </c>
      <c t="s" s="30" r="D839">
        <v>117</v>
      </c>
      <c t="s" s="30" r="E839">
        <v>4</v>
      </c>
      <c t="s" s="30" r="F839">
        <v>4</v>
      </c>
      <c t="s" s="30" r="G839">
        <v>223</v>
      </c>
      <c t="str" s="12" r="H839">
        <f>HYPERLINK("http://sofifa.com/en/fifa13winter/player/150029-lucas-digne","L. Digne")</f>
        <v>L. Digne</v>
      </c>
      <c s="30" r="I839">
        <v>75</v>
      </c>
      <c t="s" s="30" r="J839">
        <v>117</v>
      </c>
      <c t="s" s="30" r="K839">
        <v>118</v>
      </c>
      <c t="s" s="30" r="L839">
        <v>160</v>
      </c>
      <c s="30" r="M839">
        <v>19</v>
      </c>
      <c s="26" r="N839">
        <v>4.5</v>
      </c>
      <c s="23" r="O839">
        <v>0.01</v>
      </c>
      <c s="7" r="P839"/>
      <c s="7" r="Q839"/>
      <c s="7" r="R839">
        <f>IF((P839&gt;0),O839,0)</f>
        <v>0</v>
      </c>
      <c t="str" r="S839">
        <f>CONCATENATE(F839,E839)</f>
        <v>NON FTLNON FTL</v>
      </c>
    </row>
    <row r="840">
      <c t="s" s="7" r="A840">
        <v>201</v>
      </c>
      <c s="7" r="B840">
        <v>867</v>
      </c>
      <c s="30" r="C840">
        <v>24</v>
      </c>
      <c t="s" s="30" r="D840">
        <v>154</v>
      </c>
      <c t="s" s="30" r="E840">
        <v>4</v>
      </c>
      <c t="s" s="30" r="F840">
        <v>4</v>
      </c>
      <c t="s" s="30" r="G840">
        <v>223</v>
      </c>
      <c t="str" s="12" r="H840">
        <f>HYPERLINK("http://sofifa.com/en/fifa13winter/player/146608-rio-antonio-mavuba","R. Mavuba")</f>
        <v>R. Mavuba</v>
      </c>
      <c s="30" r="I840">
        <v>82</v>
      </c>
      <c t="s" s="30" r="J840">
        <v>154</v>
      </c>
      <c t="s" s="30" r="K840">
        <v>187</v>
      </c>
      <c t="s" s="30" r="L840">
        <v>160</v>
      </c>
      <c s="30" r="M840">
        <v>28</v>
      </c>
      <c s="26" r="N840">
        <v>12.8</v>
      </c>
      <c s="23" r="O840">
        <v>0.055</v>
      </c>
      <c s="7" r="P840"/>
      <c s="7" r="Q840"/>
      <c s="7" r="R840">
        <f>IF((P840&gt;0),O840,0)</f>
        <v>0</v>
      </c>
      <c t="str" r="S840">
        <f>CONCATENATE(F840,E840)</f>
        <v>NON FTLNON FTL</v>
      </c>
    </row>
    <row r="841">
      <c t="s" s="7" r="A841">
        <v>201</v>
      </c>
      <c s="7" r="B841">
        <v>868</v>
      </c>
      <c s="30" r="C841">
        <v>4</v>
      </c>
      <c t="s" s="30" r="D841">
        <v>123</v>
      </c>
      <c t="s" s="30" r="E841">
        <v>4</v>
      </c>
      <c t="s" s="30" r="F841">
        <v>4</v>
      </c>
      <c t="s" s="30" r="G841">
        <v>223</v>
      </c>
      <c t="str" s="12" r="H841">
        <f>HYPERLINK("http://sofifa.com/en/fifa13winter/player/145112-florent-balmont","F. Balmont")</f>
        <v>F. Balmont</v>
      </c>
      <c s="30" r="I841">
        <v>78</v>
      </c>
      <c t="s" s="30" r="J841">
        <v>124</v>
      </c>
      <c t="s" s="30" r="K841">
        <v>148</v>
      </c>
      <c t="s" s="30" r="L841">
        <v>146</v>
      </c>
      <c s="30" r="M841">
        <v>32</v>
      </c>
      <c s="26" r="N841">
        <v>4.8</v>
      </c>
      <c s="23" r="O841">
        <v>0.023</v>
      </c>
      <c s="7" r="P841"/>
      <c s="7" r="Q841"/>
      <c s="7" r="R841">
        <f>IF((P841&gt;0),O841,0)</f>
        <v>0</v>
      </c>
      <c t="str" r="S841">
        <f>CONCATENATE(F841,E841)</f>
        <v>NON FTLNON FTL</v>
      </c>
    </row>
    <row r="842">
      <c t="s" s="7" r="A842">
        <v>201</v>
      </c>
      <c s="7" r="B842">
        <v>869</v>
      </c>
      <c s="30" r="C842">
        <v>10</v>
      </c>
      <c t="s" s="30" r="D842">
        <v>126</v>
      </c>
      <c t="s" s="30" r="E842">
        <v>4</v>
      </c>
      <c t="s" s="30" r="F842">
        <v>4</v>
      </c>
      <c t="s" s="30" r="G842">
        <v>223</v>
      </c>
      <c t="str" s="12" r="H842">
        <f>HYPERLINK("http://sofifa.com/en/fifa13winter/player/148011-marvin-martin","M. Martin")</f>
        <v>M. Martin</v>
      </c>
      <c s="30" r="I842">
        <v>76</v>
      </c>
      <c t="s" s="30" r="J842">
        <v>124</v>
      </c>
      <c t="s" s="30" r="K842">
        <v>195</v>
      </c>
      <c t="s" s="30" r="L842">
        <v>115</v>
      </c>
      <c s="30" r="M842">
        <v>24</v>
      </c>
      <c s="26" r="N842">
        <v>5</v>
      </c>
      <c s="23" r="O842">
        <v>0.015</v>
      </c>
      <c s="7" r="P842"/>
      <c s="7" r="Q842"/>
      <c s="7" r="R842">
        <f>IF((P842&gt;0),O842,0)</f>
        <v>0</v>
      </c>
      <c t="str" r="S842">
        <f>CONCATENATE(F842,E842)</f>
        <v>NON FTLNON FTL</v>
      </c>
    </row>
    <row r="843">
      <c t="s" s="7" r="A843">
        <v>201</v>
      </c>
      <c s="7" r="B843">
        <v>870</v>
      </c>
      <c s="30" r="C843">
        <v>20</v>
      </c>
      <c t="s" s="30" r="D843">
        <v>157</v>
      </c>
      <c t="s" s="30" r="E843">
        <v>4</v>
      </c>
      <c t="s" s="30" r="F843">
        <v>4</v>
      </c>
      <c t="s" s="30" r="G843">
        <v>223</v>
      </c>
      <c t="str" s="12" r="H843">
        <f>HYPERLINK("http://sofifa.com/en/fifa13winter/player/148689-ronny-rodelin","R. Rodelin")</f>
        <v>R. Rodelin</v>
      </c>
      <c s="30" r="I843">
        <v>70</v>
      </c>
      <c t="s" s="30" r="J843">
        <v>157</v>
      </c>
      <c t="s" s="30" r="K843">
        <v>165</v>
      </c>
      <c t="s" s="30" r="L843">
        <v>193</v>
      </c>
      <c s="30" r="M843">
        <v>22</v>
      </c>
      <c s="26" r="N843">
        <v>2.1</v>
      </c>
      <c s="23" r="O843">
        <v>0.006</v>
      </c>
      <c s="7" r="P843"/>
      <c s="7" r="Q843"/>
      <c s="7" r="R843">
        <f>IF((P843&gt;0),O843,0)</f>
        <v>0</v>
      </c>
      <c t="str" r="S843">
        <f>CONCATENATE(F843,E843)</f>
        <v>NON FTLNON FTL</v>
      </c>
    </row>
    <row r="844">
      <c t="s" s="7" r="A844">
        <v>201</v>
      </c>
      <c s="7" r="B844">
        <v>871</v>
      </c>
      <c s="30" r="C844">
        <v>8</v>
      </c>
      <c t="s" s="30" r="D844">
        <v>129</v>
      </c>
      <c t="s" s="30" r="E844">
        <v>4</v>
      </c>
      <c t="s" s="30" r="F844">
        <v>4</v>
      </c>
      <c t="s" s="30" r="G844">
        <v>223</v>
      </c>
      <c t="str" s="12" r="H844">
        <f>HYPERLINK("http://sofifa.com/en/fifa13winter/player/147123-salomon-kalou","S. Kalou")</f>
        <v>S. Kalou</v>
      </c>
      <c s="30" r="I844">
        <v>78</v>
      </c>
      <c t="s" s="30" r="J844">
        <v>129</v>
      </c>
      <c t="s" s="30" r="K844">
        <v>167</v>
      </c>
      <c t="s" s="30" r="L844">
        <v>138</v>
      </c>
      <c s="30" r="M844">
        <v>27</v>
      </c>
      <c s="26" r="N844">
        <v>8.1</v>
      </c>
      <c s="23" r="O844">
        <v>0.019</v>
      </c>
      <c s="7" r="P844"/>
      <c s="7" r="Q844"/>
      <c s="7" r="R844">
        <f>IF((P844&gt;0),O844,0)</f>
        <v>0</v>
      </c>
      <c t="str" r="S844">
        <f>CONCATENATE(F844,E844)</f>
        <v>NON FTLNON FTL</v>
      </c>
    </row>
    <row r="845">
      <c t="s" s="7" r="A845">
        <v>201</v>
      </c>
      <c s="7" r="B845">
        <v>872</v>
      </c>
      <c s="30" r="C845">
        <v>7</v>
      </c>
      <c t="s" s="30" r="D845">
        <v>170</v>
      </c>
      <c t="s" s="30" r="E845">
        <v>4</v>
      </c>
      <c t="s" s="30" r="F845">
        <v>4</v>
      </c>
      <c t="s" s="30" r="G845">
        <v>223</v>
      </c>
      <c t="str" s="12" r="H845">
        <f>HYPERLINK("http://sofifa.com/en/fifa13winter/player/147724-dimitri-payet","D. Payet")</f>
        <v>D. Payet</v>
      </c>
      <c s="30" r="I845">
        <v>81</v>
      </c>
      <c t="s" s="30" r="J845">
        <v>170</v>
      </c>
      <c t="s" s="30" r="K845">
        <v>139</v>
      </c>
      <c t="s" s="30" r="L845">
        <v>138</v>
      </c>
      <c s="30" r="M845">
        <v>25</v>
      </c>
      <c s="26" r="N845">
        <v>12.7</v>
      </c>
      <c s="23" r="O845">
        <v>0.04</v>
      </c>
      <c s="7" r="P845"/>
      <c s="7" r="Q845"/>
      <c s="7" r="R845">
        <f>IF((P845&gt;0),O845,0)</f>
        <v>0</v>
      </c>
      <c t="str" r="S845">
        <f>CONCATENATE(F845,E845)</f>
        <v>NON FTLNON FTL</v>
      </c>
    </row>
    <row r="846">
      <c t="s" s="7" r="A846">
        <v>201</v>
      </c>
      <c s="7" r="B846">
        <v>873</v>
      </c>
      <c s="30" r="C846">
        <v>5</v>
      </c>
      <c t="s" s="30" r="D846">
        <v>136</v>
      </c>
      <c t="s" s="30" r="E846">
        <v>4</v>
      </c>
      <c t="s" s="30" r="F846">
        <v>4</v>
      </c>
      <c t="s" s="30" r="G846">
        <v>223</v>
      </c>
      <c t="str" s="12" r="H846">
        <f>HYPERLINK("http://sofifa.com/en/fifa13winter/player/148636-idrissa-gana-gueye","I. Gueye")</f>
        <v>I. Gueye</v>
      </c>
      <c s="30" r="I846">
        <v>72</v>
      </c>
      <c t="s" s="30" r="J846">
        <v>154</v>
      </c>
      <c t="s" s="30" r="K846">
        <v>182</v>
      </c>
      <c t="s" s="30" r="L846">
        <v>125</v>
      </c>
      <c s="30" r="M846">
        <v>22</v>
      </c>
      <c s="26" r="N846">
        <v>2.6</v>
      </c>
      <c s="23" r="O846">
        <v>0.008</v>
      </c>
      <c s="7" r="P846"/>
      <c s="7" r="Q846"/>
      <c s="7" r="R846">
        <f>IF((P846&gt;0),O846,0)</f>
        <v>0</v>
      </c>
      <c t="str" r="S846">
        <f>CONCATENATE(F846,E846)</f>
        <v>NON FTLNON FTL</v>
      </c>
    </row>
    <row r="847">
      <c t="s" s="7" r="A847">
        <v>201</v>
      </c>
      <c s="7" r="B847">
        <v>874</v>
      </c>
      <c s="30" r="C847">
        <v>6</v>
      </c>
      <c t="s" s="30" r="D847">
        <v>136</v>
      </c>
      <c t="s" s="30" r="E847">
        <v>4</v>
      </c>
      <c t="s" s="30" r="F847">
        <v>4</v>
      </c>
      <c t="s" s="30" r="G847">
        <v>223</v>
      </c>
      <c t="str" s="12" r="H847">
        <f>HYPERLINK("http://sofifa.com/en/fifa13winter/player/148889-pape-ndiaye-souare","P. Souaré")</f>
        <v>P. Souaré</v>
      </c>
      <c s="30" r="I847">
        <v>71</v>
      </c>
      <c t="s" s="30" r="J847">
        <v>117</v>
      </c>
      <c t="s" s="30" r="K847">
        <v>118</v>
      </c>
      <c t="s" s="30" r="L847">
        <v>111</v>
      </c>
      <c s="30" r="M847">
        <v>22</v>
      </c>
      <c s="26" r="N847">
        <v>2.2</v>
      </c>
      <c s="23" r="O847">
        <v>0.007</v>
      </c>
      <c s="7" r="P847"/>
      <c s="7" r="Q847"/>
      <c s="7" r="R847">
        <f>IF((P847&gt;0),O847,0)</f>
        <v>0</v>
      </c>
      <c t="str" r="S847">
        <f>CONCATENATE(F847,E847)</f>
        <v>NON FTLNON FTL</v>
      </c>
    </row>
    <row r="848">
      <c t="s" s="7" r="A848">
        <v>201</v>
      </c>
      <c s="7" r="B848">
        <v>875</v>
      </c>
      <c s="30" r="C848">
        <v>11</v>
      </c>
      <c t="s" s="30" r="D848">
        <v>136</v>
      </c>
      <c t="s" s="30" r="E848">
        <v>4</v>
      </c>
      <c t="s" s="30" r="F848">
        <v>4</v>
      </c>
      <c t="s" s="30" r="G848">
        <v>223</v>
      </c>
      <c t="str" s="12" r="H848">
        <f>HYPERLINK("http://sofifa.com/en/fifa13winter/player/148740-ryan-mendes","R. Mendes")</f>
        <v>R. Mendes</v>
      </c>
      <c s="30" r="I848">
        <v>70</v>
      </c>
      <c t="s" s="30" r="J848">
        <v>120</v>
      </c>
      <c t="s" s="30" r="K848">
        <v>139</v>
      </c>
      <c t="s" s="30" r="L848">
        <v>119</v>
      </c>
      <c s="30" r="M848">
        <v>22</v>
      </c>
      <c s="26" r="N848">
        <v>2</v>
      </c>
      <c s="23" r="O848">
        <v>0.006</v>
      </c>
      <c s="7" r="P848"/>
      <c s="7" r="Q848"/>
      <c s="7" r="R848">
        <f>IF((P848&gt;0),O848,0)</f>
        <v>0</v>
      </c>
      <c t="str" r="S848">
        <f>CONCATENATE(F848,E848)</f>
        <v>NON FTLNON FTL</v>
      </c>
    </row>
    <row r="849">
      <c t="s" s="7" r="A849">
        <v>201</v>
      </c>
      <c s="7" r="B849">
        <v>876</v>
      </c>
      <c s="30" r="C849">
        <v>13</v>
      </c>
      <c t="s" s="30" r="D849">
        <v>136</v>
      </c>
      <c t="s" s="30" r="E849">
        <v>4</v>
      </c>
      <c t="s" s="30" r="F849">
        <v>4</v>
      </c>
      <c t="s" s="30" r="G849">
        <v>223</v>
      </c>
      <c t="str" s="12" r="H849">
        <f>HYPERLINK("http://sofifa.com/en/fifa13winter/player/149632-adama-soumaoro","A. Soumaoro")</f>
        <v>A. Soumaoro</v>
      </c>
      <c s="30" r="I849">
        <v>59</v>
      </c>
      <c t="s" s="30" r="J849">
        <v>113</v>
      </c>
      <c t="s" s="30" r="K849">
        <v>173</v>
      </c>
      <c t="s" s="30" r="L849">
        <v>184</v>
      </c>
      <c s="30" r="M849">
        <v>20</v>
      </c>
      <c s="26" r="N849">
        <v>0.5</v>
      </c>
      <c s="23" r="O849">
        <v>0.002</v>
      </c>
      <c s="7" r="P849"/>
      <c s="7" r="Q849"/>
      <c s="7" r="R849">
        <f>IF((P849&gt;0),O849,0)</f>
        <v>0</v>
      </c>
      <c t="str" r="S849">
        <f>CONCATENATE(F849,E849)</f>
        <v>NON FTLNON FTL</v>
      </c>
    </row>
    <row r="850">
      <c t="s" s="7" r="A850">
        <v>201</v>
      </c>
      <c s="7" r="B850">
        <v>877</v>
      </c>
      <c s="30" r="C850">
        <v>15</v>
      </c>
      <c t="s" s="30" r="D850">
        <v>136</v>
      </c>
      <c t="s" s="30" r="E850">
        <v>4</v>
      </c>
      <c t="s" s="30" r="F850">
        <v>4</v>
      </c>
      <c t="s" s="30" r="G850">
        <v>223</v>
      </c>
      <c t="str" s="12" r="H850">
        <f>HYPERLINK("http://sofifa.com/en/fifa13winter/player/149673-djibril-sidibe","D. Sidibé")</f>
        <v>D. Sidibé</v>
      </c>
      <c s="30" r="I850">
        <v>67</v>
      </c>
      <c t="s" s="30" r="J850">
        <v>109</v>
      </c>
      <c t="s" s="30" r="K850">
        <v>143</v>
      </c>
      <c t="s" s="30" r="L850">
        <v>142</v>
      </c>
      <c s="30" r="M850">
        <v>20</v>
      </c>
      <c s="26" r="N850">
        <v>1.4</v>
      </c>
      <c s="23" r="O850">
        <v>0.005</v>
      </c>
      <c s="7" r="P850"/>
      <c s="7" r="Q850"/>
      <c s="7" r="R850">
        <f>IF((P850&gt;0),O850,0)</f>
        <v>0</v>
      </c>
      <c t="str" r="S850">
        <f>CONCATENATE(F850,E850)</f>
        <v>NON FTLNON FTL</v>
      </c>
    </row>
    <row r="851">
      <c t="s" s="7" r="A851">
        <v>201</v>
      </c>
      <c s="7" r="B851">
        <v>878</v>
      </c>
      <c s="30" r="C851">
        <v>17</v>
      </c>
      <c t="s" s="30" r="D851">
        <v>136</v>
      </c>
      <c t="s" s="30" r="E851">
        <v>4</v>
      </c>
      <c t="s" s="30" r="F851">
        <v>4</v>
      </c>
      <c t="s" s="30" r="G851">
        <v>223</v>
      </c>
      <c t="str" s="12" r="H851">
        <f>HYPERLINK("http://sofifa.com/en/fifa13winter/player/145396-benoit-pedretti","B. Pedretti")</f>
        <v>B. Pedretti</v>
      </c>
      <c s="30" r="I851">
        <v>76</v>
      </c>
      <c t="s" s="30" r="J851">
        <v>124</v>
      </c>
      <c t="s" s="30" r="K851">
        <v>118</v>
      </c>
      <c t="s" s="30" r="L851">
        <v>142</v>
      </c>
      <c s="30" r="M851">
        <v>31</v>
      </c>
      <c s="26" r="N851">
        <v>3.9</v>
      </c>
      <c s="23" r="O851">
        <v>0.017</v>
      </c>
      <c s="7" r="P851"/>
      <c s="7" r="Q851"/>
      <c s="7" r="R851">
        <f>IF((P851&gt;0),O851,0)</f>
        <v>0</v>
      </c>
      <c t="str" r="S851">
        <f>CONCATENATE(F851,E851)</f>
        <v>NON FTLNON FTL</v>
      </c>
    </row>
    <row r="852">
      <c t="s" s="7" r="A852">
        <v>201</v>
      </c>
      <c s="7" r="B852">
        <v>879</v>
      </c>
      <c s="30" r="C852">
        <v>19</v>
      </c>
      <c t="s" s="30" r="D852">
        <v>136</v>
      </c>
      <c t="s" s="30" r="E852">
        <v>4</v>
      </c>
      <c t="s" s="30" r="F852">
        <v>4</v>
      </c>
      <c t="s" s="30" r="G852">
        <v>223</v>
      </c>
      <c t="str" s="12" r="H852">
        <f>HYPERLINK("http://sofifa.com/en/fifa13winter/player/149328-gianni-bruno","G. Bruno")</f>
        <v>G. Bruno</v>
      </c>
      <c s="30" r="I852">
        <v>66</v>
      </c>
      <c t="s" s="30" r="J852">
        <v>129</v>
      </c>
      <c t="s" s="30" r="K852">
        <v>114</v>
      </c>
      <c t="s" s="30" r="L852">
        <v>160</v>
      </c>
      <c s="30" r="M852">
        <v>21</v>
      </c>
      <c s="26" r="N852">
        <v>1.5</v>
      </c>
      <c s="23" r="O852">
        <v>0.005</v>
      </c>
      <c s="7" r="P852"/>
      <c s="7" r="Q852"/>
      <c s="7" r="R852">
        <f>IF((P852&gt;0),O852,0)</f>
        <v>0</v>
      </c>
      <c t="str" r="S852">
        <f>CONCATENATE(F852,E852)</f>
        <v>NON FTLNON FTL</v>
      </c>
    </row>
    <row r="853">
      <c t="s" s="7" r="A853">
        <v>201</v>
      </c>
      <c s="7" r="B853">
        <v>880</v>
      </c>
      <c s="30" r="C853">
        <v>26</v>
      </c>
      <c t="s" s="30" r="D853">
        <v>136</v>
      </c>
      <c t="s" s="30" r="E853">
        <v>4</v>
      </c>
      <c t="s" s="30" r="F853">
        <v>4</v>
      </c>
      <c t="s" s="30" r="G853">
        <v>223</v>
      </c>
      <c t="str" s="12" r="H853">
        <f>HYPERLINK("http://sofifa.com/en/fifa13winter/player/148062-nolan-roux","N. Roux")</f>
        <v>N. Roux</v>
      </c>
      <c s="30" r="I853">
        <v>76</v>
      </c>
      <c t="s" s="30" r="J853">
        <v>129</v>
      </c>
      <c t="s" s="30" r="K853">
        <v>143</v>
      </c>
      <c t="s" s="30" r="L853">
        <v>161</v>
      </c>
      <c s="30" r="M853">
        <v>24</v>
      </c>
      <c s="26" r="N853">
        <v>6.9</v>
      </c>
      <c s="23" r="O853">
        <v>0.015</v>
      </c>
      <c s="7" r="P853"/>
      <c s="7" r="Q853"/>
      <c s="7" r="R853">
        <f>IF((P853&gt;0),O853,0)</f>
        <v>0</v>
      </c>
      <c t="str" r="S853">
        <f>CONCATENATE(F853,E853)</f>
        <v>NON FTLNON FTL</v>
      </c>
    </row>
    <row r="854">
      <c t="s" s="7" r="A854">
        <v>201</v>
      </c>
      <c s="7" r="B854">
        <v>881</v>
      </c>
      <c s="30" r="C854">
        <v>9</v>
      </c>
      <c t="s" s="30" r="D854">
        <v>136</v>
      </c>
      <c t="s" s="30" r="E854">
        <v>4</v>
      </c>
      <c t="s" s="30" r="F854">
        <v>4</v>
      </c>
      <c t="s" s="30" r="G854">
        <v>223</v>
      </c>
      <c t="str" s="12" r="H854">
        <f>HYPERLINK("http://sofifa.com/en/fifa13winter/player/146937-tulio-vinicius-froes-de-melo","Tulio de Melo")</f>
        <v>Tulio de Melo</v>
      </c>
      <c s="30" r="I854">
        <v>75</v>
      </c>
      <c t="s" s="30" r="J854">
        <v>129</v>
      </c>
      <c t="s" s="30" r="K854">
        <v>107</v>
      </c>
      <c t="s" s="30" r="L854">
        <v>178</v>
      </c>
      <c s="30" r="M854">
        <v>27</v>
      </c>
      <c s="26" r="N854">
        <v>5.2</v>
      </c>
      <c s="23" r="O854">
        <v>0.013</v>
      </c>
      <c s="7" r="P854"/>
      <c s="7" r="Q854"/>
      <c s="7" r="R854">
        <f>IF((P854&gt;0),O854,0)</f>
        <v>0</v>
      </c>
      <c t="str" r="S854">
        <f>CONCATENATE(F854,E854)</f>
        <v>NON FTLNON FTL</v>
      </c>
    </row>
    <row r="855">
      <c t="s" s="7" r="A855">
        <v>201</v>
      </c>
      <c s="7" r="B855">
        <v>882</v>
      </c>
      <c s="30" r="C855">
        <v>30</v>
      </c>
      <c t="s" s="30" r="D855">
        <v>136</v>
      </c>
      <c t="s" s="30" r="E855">
        <v>4</v>
      </c>
      <c t="s" s="30" r="F855">
        <v>4</v>
      </c>
      <c t="s" s="30" r="G855">
        <v>223</v>
      </c>
      <c t="str" s="12" r="H855">
        <f>HYPERLINK("http://sofifa.com/en/fifa13winter/player/144809-barel-mouko","B. Mouko")</f>
        <v>B. Mouko</v>
      </c>
      <c s="30" r="I855">
        <v>66</v>
      </c>
      <c t="s" s="30" r="J855">
        <v>106</v>
      </c>
      <c t="s" s="30" r="K855">
        <v>118</v>
      </c>
      <c t="s" s="30" r="L855">
        <v>137</v>
      </c>
      <c s="30" r="M855">
        <v>33</v>
      </c>
      <c s="26" r="N855">
        <v>0.7</v>
      </c>
      <c s="23" r="O855">
        <v>0.007</v>
      </c>
      <c s="7" r="P855"/>
      <c s="7" r="Q855"/>
      <c s="7" r="R855">
        <f>IF((P855&gt;0),O855,0)</f>
        <v>0</v>
      </c>
      <c t="str" r="S855">
        <f>CONCATENATE(F855,E855)</f>
        <v>NON FTLNON FTL</v>
      </c>
    </row>
    <row r="856">
      <c t="s" s="7" r="A856">
        <v>201</v>
      </c>
      <c s="7" r="B856">
        <v>883</v>
      </c>
      <c s="30" r="C856">
        <v>14</v>
      </c>
      <c t="s" s="30" r="D856">
        <v>136</v>
      </c>
      <c t="s" s="30" r="E856">
        <v>4</v>
      </c>
      <c t="s" s="30" r="F856">
        <v>4</v>
      </c>
      <c t="s" s="30" r="G856">
        <v>223</v>
      </c>
      <c t="str" s="12" r="H856">
        <f>HYPERLINK("http://sofifa.com/en/fifa13winter/player/145266-david-rozehnal","D. Rozehnal")</f>
        <v>D. Rozehnal</v>
      </c>
      <c s="30" r="I856">
        <v>71</v>
      </c>
      <c t="s" s="30" r="J856">
        <v>113</v>
      </c>
      <c t="s" s="30" r="K856">
        <v>144</v>
      </c>
      <c t="s" s="30" r="L856">
        <v>153</v>
      </c>
      <c s="30" r="M856">
        <v>32</v>
      </c>
      <c s="26" r="N856">
        <v>1.6</v>
      </c>
      <c s="23" r="O856">
        <v>0.009</v>
      </c>
      <c s="7" r="P856"/>
      <c s="7" r="Q856"/>
      <c s="7" r="R856">
        <f>IF((P856&gt;0),O856,0)</f>
        <v>0</v>
      </c>
      <c t="str" r="S856">
        <f>CONCATENATE(F856,E856)</f>
        <v>NON FTLNON FTL</v>
      </c>
    </row>
    <row r="857">
      <c t="s" s="7" r="A857">
        <v>201</v>
      </c>
      <c s="7" r="B857">
        <v>884</v>
      </c>
      <c s="30" r="C857">
        <v>21</v>
      </c>
      <c t="s" s="30" r="D857">
        <v>136</v>
      </c>
      <c t="s" s="30" r="E857">
        <v>4</v>
      </c>
      <c t="s" s="30" r="F857">
        <v>4</v>
      </c>
      <c t="s" s="30" r="G857">
        <v>223</v>
      </c>
      <c t="str" s="12" r="H857">
        <f>HYPERLINK("http://sofifa.com/en/fifa13winter/player/145073-laurent-bonnart","L. Bonnart")</f>
        <v>L. Bonnart</v>
      </c>
      <c s="30" r="I857">
        <v>70</v>
      </c>
      <c t="s" s="30" r="J857">
        <v>109</v>
      </c>
      <c t="s" s="30" r="K857">
        <v>195</v>
      </c>
      <c t="s" s="30" r="L857">
        <v>164</v>
      </c>
      <c s="30" r="M857">
        <v>32</v>
      </c>
      <c s="26" r="N857">
        <v>1.3</v>
      </c>
      <c s="23" r="O857">
        <v>0.008</v>
      </c>
      <c s="7" r="P857"/>
      <c s="7" r="Q857"/>
      <c s="7" r="R857">
        <f>IF((P857&gt;0),O857,0)</f>
        <v>0</v>
      </c>
      <c t="str" r="S857">
        <f>CONCATENATE(F857,E857)</f>
        <v>NON FTLNON FTL</v>
      </c>
    </row>
    <row r="858">
      <c t="s" s="7" r="A858">
        <v>201</v>
      </c>
      <c s="7" r="B858">
        <v>885</v>
      </c>
      <c s="30" r="C858">
        <v>29</v>
      </c>
      <c t="s" s="30" r="D858">
        <v>147</v>
      </c>
      <c t="s" s="30" r="E858">
        <v>4</v>
      </c>
      <c t="s" s="30" r="F858">
        <v>4</v>
      </c>
      <c t="s" s="30" r="G858">
        <v>223</v>
      </c>
      <c t="str" s="12" r="H858">
        <f>HYPERLINK("http://sofifa.com/en/fifa13winter/player/149512-julian-michel","J. Michel")</f>
        <v>J. Michel</v>
      </c>
      <c s="30" r="I858">
        <v>62</v>
      </c>
      <c t="s" s="30" r="J858">
        <v>124</v>
      </c>
      <c t="s" s="30" r="K858">
        <v>145</v>
      </c>
      <c t="s" s="30" r="L858">
        <v>168</v>
      </c>
      <c s="30" r="M858">
        <v>20</v>
      </c>
      <c s="26" r="N858">
        <v>0.7</v>
      </c>
      <c s="23" r="O858">
        <v>0.003</v>
      </c>
      <c s="7" r="P858"/>
      <c s="7" r="Q858"/>
      <c s="7" r="R858">
        <f>IF((P858&gt;0),O858,0)</f>
        <v>0</v>
      </c>
      <c t="str" r="S858">
        <f>CONCATENATE(F858,E858)</f>
        <v>NON FTLNON FTL</v>
      </c>
    </row>
    <row r="859">
      <c t="s" s="7" r="A859">
        <v>201</v>
      </c>
      <c s="7" r="B859">
        <v>886</v>
      </c>
      <c s="30" r="C859">
        <v>33</v>
      </c>
      <c t="s" s="30" r="D859">
        <v>147</v>
      </c>
      <c t="s" s="30" r="E859">
        <v>4</v>
      </c>
      <c t="s" s="30" r="F859">
        <v>4</v>
      </c>
      <c t="s" s="30" r="G859">
        <v>223</v>
      </c>
      <c t="str" s="12" r="H859">
        <f>HYPERLINK("http://sofifa.com/en/fifa13winter/player/150656-divock-origi","D. Origi")</f>
        <v>D. Origi</v>
      </c>
      <c s="30" r="I859">
        <v>61</v>
      </c>
      <c t="s" s="30" r="J859">
        <v>162</v>
      </c>
      <c t="s" s="30" r="K859">
        <v>132</v>
      </c>
      <c t="s" s="30" r="L859">
        <v>151</v>
      </c>
      <c s="30" r="M859">
        <v>17</v>
      </c>
      <c s="26" r="N859">
        <v>0.8</v>
      </c>
      <c s="23" r="O859">
        <v>0.003</v>
      </c>
      <c s="7" r="P859"/>
      <c s="7" r="Q859"/>
      <c s="7" r="R859">
        <f>IF((P859&gt;0),O859,0)</f>
        <v>0</v>
      </c>
      <c t="str" r="S859">
        <f>CONCATENATE(F859,E859)</f>
        <v>NON FTLNON FTL</v>
      </c>
    </row>
    <row r="860">
      <c t="s" s="7" r="A860">
        <v>201</v>
      </c>
      <c s="7" r="B860">
        <v>887</v>
      </c>
      <c s="30" r="C860">
        <v>34</v>
      </c>
      <c t="s" s="30" r="D860">
        <v>147</v>
      </c>
      <c t="s" s="30" r="E860">
        <v>4</v>
      </c>
      <c t="s" s="30" r="F860">
        <v>4</v>
      </c>
      <c t="s" s="30" r="G860">
        <v>223</v>
      </c>
      <c t="str" s="12" r="H860">
        <f>HYPERLINK("http://sofifa.com/en/fifa13winter/player/148975-steeven-willems","S. Willems")</f>
        <v>S. Willems</v>
      </c>
      <c s="30" r="I860">
        <v>56</v>
      </c>
      <c t="s" s="30" r="J860">
        <v>117</v>
      </c>
      <c t="s" s="30" r="K860">
        <v>114</v>
      </c>
      <c t="s" s="30" r="L860">
        <v>151</v>
      </c>
      <c s="30" r="M860">
        <v>22</v>
      </c>
      <c s="26" r="N860">
        <v>0.1</v>
      </c>
      <c s="23" r="O860">
        <v>0.002</v>
      </c>
      <c s="7" r="P860"/>
      <c s="7" r="Q860"/>
      <c s="7" r="R860">
        <f>IF((P860&gt;0),O860,0)</f>
        <v>0</v>
      </c>
      <c t="str" r="S860">
        <f>CONCATENATE(F860,E860)</f>
        <v>NON FTLNON FTL</v>
      </c>
    </row>
    <row r="861">
      <c t="s" s="7" r="A861">
        <v>201</v>
      </c>
      <c s="7" r="B861">
        <v>888</v>
      </c>
      <c s="30" r="C861">
        <v>1</v>
      </c>
      <c t="s" s="30" r="D861">
        <v>106</v>
      </c>
      <c t="s" s="30" r="E861">
        <v>4</v>
      </c>
      <c t="s" s="30" r="F861">
        <v>4</v>
      </c>
      <c t="s" s="30" r="G861">
        <v>224</v>
      </c>
      <c t="str" s="12" r="H861">
        <f>HYPERLINK("http://sofifa.com/en/fifa13winter/player/147461-zeljko-brkic","Z. Brkić")</f>
        <v>Z. Brkić</v>
      </c>
      <c s="30" r="I861">
        <v>78</v>
      </c>
      <c t="s" s="30" r="J861">
        <v>106</v>
      </c>
      <c t="s" s="30" r="K861">
        <v>188</v>
      </c>
      <c t="s" s="30" r="L861">
        <v>179</v>
      </c>
      <c s="30" r="M861">
        <v>26</v>
      </c>
      <c s="26" r="N861">
        <v>5.3</v>
      </c>
      <c s="23" r="O861">
        <v>0.019</v>
      </c>
      <c s="7" r="P861"/>
      <c s="7" r="Q861"/>
      <c s="7" r="R861">
        <f>IF((P861&gt;0),O861,0)</f>
        <v>0</v>
      </c>
      <c t="str" r="S861">
        <f>CONCATENATE(F861,E861)</f>
        <v>NON FTLNON FTL</v>
      </c>
    </row>
    <row r="862">
      <c t="s" s="7" r="A862">
        <v>201</v>
      </c>
      <c s="7" r="B862">
        <v>889</v>
      </c>
      <c s="30" r="C862">
        <v>17</v>
      </c>
      <c t="s" s="30" r="D862">
        <v>112</v>
      </c>
      <c t="s" s="30" r="E862">
        <v>4</v>
      </c>
      <c t="s" s="30" r="F862">
        <v>4</v>
      </c>
      <c t="s" s="30" r="G862">
        <v>224</v>
      </c>
      <c t="str" s="12" r="H862">
        <f>HYPERLINK("http://sofifa.com/en/fifa13winter/player/147743-medhi-benatia","M. Benatia")</f>
        <v>M. Benatia</v>
      </c>
      <c s="30" r="I862">
        <v>82</v>
      </c>
      <c t="s" s="30" r="J862">
        <v>113</v>
      </c>
      <c t="s" s="30" r="K862">
        <v>134</v>
      </c>
      <c t="s" s="30" r="L862">
        <v>153</v>
      </c>
      <c s="30" r="M862">
        <v>25</v>
      </c>
      <c s="26" r="N862">
        <v>14.3</v>
      </c>
      <c s="23" r="O862">
        <v>0.053</v>
      </c>
      <c s="7" r="P862"/>
      <c s="7" r="Q862"/>
      <c s="7" r="R862">
        <f>IF((P862&gt;0),O862,0)</f>
        <v>0</v>
      </c>
      <c t="str" r="S862">
        <f>CONCATENATE(F862,E862)</f>
        <v>NON FTLNON FTL</v>
      </c>
    </row>
    <row r="863">
      <c t="s" s="7" r="A863">
        <v>201</v>
      </c>
      <c s="7" r="B863">
        <v>890</v>
      </c>
      <c s="30" r="C863">
        <v>5</v>
      </c>
      <c t="s" s="30" r="D863">
        <v>113</v>
      </c>
      <c t="s" s="30" r="E863">
        <v>4</v>
      </c>
      <c t="s" s="30" r="F863">
        <v>4</v>
      </c>
      <c t="s" s="30" r="G863">
        <v>224</v>
      </c>
      <c t="str" s="12" r="H863">
        <f>HYPERLINK("http://sofifa.com/en/fifa13winter/player/146671-danilo-larangeira","Danilo")</f>
        <v>Danilo</v>
      </c>
      <c s="30" r="I863">
        <v>81</v>
      </c>
      <c t="s" s="30" r="J863">
        <v>113</v>
      </c>
      <c t="s" s="30" r="K863">
        <v>132</v>
      </c>
      <c t="s" s="30" r="L863">
        <v>151</v>
      </c>
      <c s="30" r="M863">
        <v>28</v>
      </c>
      <c s="26" r="N863">
        <v>10.8</v>
      </c>
      <c s="23" r="O863">
        <v>0.042</v>
      </c>
      <c s="7" r="P863"/>
      <c s="7" r="Q863"/>
      <c s="7" r="R863">
        <f>IF((P863&gt;0),O863,0)</f>
        <v>0</v>
      </c>
      <c t="str" r="S863">
        <f>CONCATENATE(F863,E863)</f>
        <v>NON FTLNON FTL</v>
      </c>
    </row>
    <row r="864">
      <c t="s" s="7" r="A864">
        <v>201</v>
      </c>
      <c s="7" r="B864">
        <v>891</v>
      </c>
      <c s="30" r="C864">
        <v>11</v>
      </c>
      <c t="s" s="30" r="D864">
        <v>116</v>
      </c>
      <c t="s" s="30" r="E864">
        <v>4</v>
      </c>
      <c t="s" s="30" r="F864">
        <v>4</v>
      </c>
      <c t="s" s="30" r="G864">
        <v>224</v>
      </c>
      <c t="str" s="12" r="H864">
        <f>HYPERLINK("http://sofifa.com/en/fifa13winter/player/145259-maurizio-domizzi","M. Domizzi")</f>
        <v>M. Domizzi</v>
      </c>
      <c s="30" r="I864">
        <v>79</v>
      </c>
      <c t="s" s="30" r="J864">
        <v>113</v>
      </c>
      <c t="s" s="30" r="K864">
        <v>132</v>
      </c>
      <c t="s" s="30" r="L864">
        <v>183</v>
      </c>
      <c s="30" r="M864">
        <v>32</v>
      </c>
      <c s="26" r="N864">
        <v>5.3</v>
      </c>
      <c s="23" r="O864">
        <v>0.026</v>
      </c>
      <c s="7" r="P864"/>
      <c s="7" r="Q864"/>
      <c s="7" r="R864">
        <f>IF((P864&gt;0),O864,0)</f>
        <v>0</v>
      </c>
      <c t="str" r="S864">
        <f>CONCATENATE(F864,E864)</f>
        <v>NON FTLNON FTL</v>
      </c>
    </row>
    <row r="865">
      <c t="s" s="7" r="A865">
        <v>201</v>
      </c>
      <c s="7" r="B865">
        <v>892</v>
      </c>
      <c s="30" r="C865">
        <v>8</v>
      </c>
      <c t="s" s="30" r="D865">
        <v>120</v>
      </c>
      <c t="s" s="30" r="E865">
        <v>4</v>
      </c>
      <c t="s" s="30" r="F865">
        <v>4</v>
      </c>
      <c t="s" s="30" r="G865">
        <v>224</v>
      </c>
      <c t="str" s="12" r="H865">
        <f>HYPERLINK("http://sofifa.com/en/fifa13winter/player/146771-dusan-basta","D. Basta")</f>
        <v>D. Basta</v>
      </c>
      <c s="30" r="I865">
        <v>78</v>
      </c>
      <c t="s" s="30" r="J865">
        <v>120</v>
      </c>
      <c t="s" s="30" r="K865">
        <v>167</v>
      </c>
      <c t="s" s="30" r="L865">
        <v>160</v>
      </c>
      <c s="30" r="M865">
        <v>28</v>
      </c>
      <c s="26" r="N865">
        <v>6.9</v>
      </c>
      <c s="23" r="O865">
        <v>0.02</v>
      </c>
      <c s="7" r="P865"/>
      <c s="7" r="Q865"/>
      <c s="7" r="R865">
        <f>IF((P865&gt;0),O865,0)</f>
        <v>0</v>
      </c>
      <c t="str" r="S865">
        <f>CONCATENATE(F865,E865)</f>
        <v>NON FTLNON FTL</v>
      </c>
    </row>
    <row r="866">
      <c t="s" s="7" r="A866">
        <v>201</v>
      </c>
      <c s="7" r="B866">
        <v>893</v>
      </c>
      <c s="30" r="C866">
        <v>3</v>
      </c>
      <c t="s" s="30" r="D866">
        <v>123</v>
      </c>
      <c t="s" s="30" r="E866">
        <v>4</v>
      </c>
      <c t="s" s="30" r="F866">
        <v>4</v>
      </c>
      <c t="s" s="30" r="G866">
        <v>224</v>
      </c>
      <c t="str" s="12" r="H866">
        <f>HYPERLINK("http://sofifa.com/en/fifa13winter/player/149105-allan-marques-loureiro","Allan")</f>
        <v>Allan</v>
      </c>
      <c s="30" r="I866">
        <v>75</v>
      </c>
      <c t="s" s="30" r="J866">
        <v>154</v>
      </c>
      <c t="s" s="30" r="K866">
        <v>130</v>
      </c>
      <c t="s" s="30" r="L866">
        <v>119</v>
      </c>
      <c s="30" r="M866">
        <v>21</v>
      </c>
      <c s="26" r="N866">
        <v>4.3</v>
      </c>
      <c s="23" r="O866">
        <v>0.011</v>
      </c>
      <c s="7" r="P866"/>
      <c s="7" r="Q866"/>
      <c s="7" r="R866">
        <f>IF((P866&gt;0),O866,0)</f>
        <v>0</v>
      </c>
      <c t="str" r="S866">
        <f>CONCATENATE(F866,E866)</f>
        <v>NON FTLNON FTL</v>
      </c>
    </row>
    <row r="867">
      <c t="s" s="7" r="A867">
        <v>201</v>
      </c>
      <c s="7" r="B867">
        <v>894</v>
      </c>
      <c s="30" r="C867">
        <v>66</v>
      </c>
      <c t="s" s="30" r="D867">
        <v>126</v>
      </c>
      <c t="s" s="30" r="E867">
        <v>4</v>
      </c>
      <c t="s" s="30" r="F867">
        <v>4</v>
      </c>
      <c t="s" s="30" r="G867">
        <v>224</v>
      </c>
      <c t="str" s="12" r="H867">
        <f>HYPERLINK("http://sofifa.com/en/fifa13winter/player/145515-giampiero-pinzi","G. Pinzi")</f>
        <v>G. Pinzi</v>
      </c>
      <c s="30" r="I867">
        <v>76</v>
      </c>
      <c t="s" s="30" r="J867">
        <v>124</v>
      </c>
      <c t="s" s="30" r="K867">
        <v>114</v>
      </c>
      <c t="s" s="30" r="L867">
        <v>119</v>
      </c>
      <c s="30" r="M867">
        <v>31</v>
      </c>
      <c s="26" r="N867">
        <v>3.9</v>
      </c>
      <c s="23" r="O867">
        <v>0.017</v>
      </c>
      <c s="7" r="P867"/>
      <c s="7" r="Q867"/>
      <c s="7" r="R867">
        <f>IF((P867&gt;0),O867,0)</f>
        <v>0</v>
      </c>
      <c t="str" r="S867">
        <f>CONCATENATE(F867,E867)</f>
        <v>NON FTLNON FTL</v>
      </c>
    </row>
    <row r="868">
      <c t="s" s="7" r="A868">
        <v>201</v>
      </c>
      <c s="7" r="B868">
        <v>895</v>
      </c>
      <c s="30" r="C868">
        <v>34</v>
      </c>
      <c t="s" s="30" r="D868">
        <v>128</v>
      </c>
      <c t="s" s="30" r="E868">
        <v>4</v>
      </c>
      <c t="s" s="30" r="F868">
        <v>4</v>
      </c>
      <c t="s" s="30" r="G868">
        <v>224</v>
      </c>
      <c t="str" s="12" r="H868">
        <f>HYPERLINK("http://sofifa.com/en/fifa13winter/player/149230-gabriel-moises-antunes-da-silva","Gabriel Silva")</f>
        <v>Gabriel Silva</v>
      </c>
      <c s="30" r="I868">
        <v>73</v>
      </c>
      <c t="s" s="30" r="J868">
        <v>128</v>
      </c>
      <c t="s" s="30" r="K868">
        <v>145</v>
      </c>
      <c t="s" s="30" r="L868">
        <v>151</v>
      </c>
      <c s="30" r="M868">
        <v>21</v>
      </c>
      <c s="26" r="N868">
        <v>3.4</v>
      </c>
      <c s="23" r="O868">
        <v>0.009</v>
      </c>
      <c s="7" r="P868"/>
      <c s="7" r="Q868"/>
      <c s="7" r="R868">
        <f>IF((P868&gt;0),O868,0)</f>
        <v>0</v>
      </c>
      <c t="str" r="S868">
        <f>CONCATENATE(F868,E868)</f>
        <v>NON FTLNON FTL</v>
      </c>
    </row>
    <row r="869">
      <c t="s" s="7" r="A869">
        <v>201</v>
      </c>
      <c s="7" r="B869">
        <v>896</v>
      </c>
      <c s="30" r="C869">
        <v>37</v>
      </c>
      <c t="s" s="30" r="D869">
        <v>221</v>
      </c>
      <c t="s" s="30" r="E869">
        <v>4</v>
      </c>
      <c t="s" s="30" r="F869">
        <v>4</v>
      </c>
      <c t="s" s="30" r="G869">
        <v>224</v>
      </c>
      <c t="str" s="12" r="H869">
        <f>HYPERLINK("http://sofifa.com/en/fifa13winter/player/149104-roberto-pereyra","R. Pereyra")</f>
        <v>R. Pereyra</v>
      </c>
      <c s="30" r="I869">
        <v>73</v>
      </c>
      <c t="s" s="30" r="J869">
        <v>171</v>
      </c>
      <c t="s" s="30" r="K869">
        <v>167</v>
      </c>
      <c t="s" s="30" r="L869">
        <v>151</v>
      </c>
      <c s="30" r="M869">
        <v>21</v>
      </c>
      <c s="26" r="N869">
        <v>3.9</v>
      </c>
      <c s="23" r="O869">
        <v>0.009</v>
      </c>
      <c s="7" r="P869"/>
      <c s="7" r="Q869"/>
      <c s="7" r="R869">
        <f>IF((P869&gt;0),O869,0)</f>
        <v>0</v>
      </c>
      <c t="str" r="S869">
        <f>CONCATENATE(F869,E869)</f>
        <v>NON FTLNON FTL</v>
      </c>
    </row>
    <row r="870">
      <c t="s" s="7" r="A870">
        <v>201</v>
      </c>
      <c s="7" r="B870">
        <v>897</v>
      </c>
      <c s="30" r="C870">
        <v>24</v>
      </c>
      <c t="s" s="30" r="D870">
        <v>222</v>
      </c>
      <c t="s" s="30" r="E870">
        <v>4</v>
      </c>
      <c t="s" s="30" r="F870">
        <v>4</v>
      </c>
      <c t="s" s="30" r="G870">
        <v>224</v>
      </c>
      <c t="str" s="12" r="H870">
        <f>HYPERLINK("http://sofifa.com/en/fifa13winter/player/149205-luis-muriel","L. Muriel")</f>
        <v>L. Muriel</v>
      </c>
      <c s="30" r="I870">
        <v>78</v>
      </c>
      <c t="s" s="30" r="J870">
        <v>129</v>
      </c>
      <c t="s" s="30" r="K870">
        <v>118</v>
      </c>
      <c t="s" s="30" r="L870">
        <v>158</v>
      </c>
      <c s="30" r="M870">
        <v>21</v>
      </c>
      <c s="26" r="N870">
        <v>10.4</v>
      </c>
      <c s="23" r="O870">
        <v>0.017</v>
      </c>
      <c s="7" r="P870"/>
      <c s="7" r="Q870"/>
      <c s="7" r="R870">
        <f>IF((P870&gt;0),O870,0)</f>
        <v>0</v>
      </c>
      <c t="str" r="S870">
        <f>CONCATENATE(F870,E870)</f>
        <v>NON FTLNON FTL</v>
      </c>
    </row>
    <row r="871">
      <c t="s" s="7" r="A871">
        <v>201</v>
      </c>
      <c s="7" r="B871">
        <v>898</v>
      </c>
      <c s="30" r="C871">
        <v>10</v>
      </c>
      <c t="s" s="30" r="D871">
        <v>129</v>
      </c>
      <c t="s" s="30" r="E871">
        <v>4</v>
      </c>
      <c t="s" s="30" r="F871">
        <v>4</v>
      </c>
      <c t="s" s="30" r="G871">
        <v>224</v>
      </c>
      <c t="str" s="12" r="H871">
        <f>HYPERLINK("http://sofifa.com/en/fifa13winter/player/144270-antonio-di-natale","A. Di Natale")</f>
        <v>A. Di Natale</v>
      </c>
      <c s="30" r="I871">
        <v>84</v>
      </c>
      <c t="s" s="30" r="J871">
        <v>129</v>
      </c>
      <c t="s" s="30" r="K871">
        <v>121</v>
      </c>
      <c t="s" s="30" r="L871">
        <v>122</v>
      </c>
      <c s="30" r="M871">
        <v>34</v>
      </c>
      <c s="26" r="N871">
        <v>17.2</v>
      </c>
      <c s="23" r="O871">
        <v>0.107</v>
      </c>
      <c s="7" r="P871"/>
      <c s="7" r="Q871"/>
      <c s="7" r="R871">
        <f>IF((P871&gt;0),O871,0)</f>
        <v>0</v>
      </c>
      <c t="str" r="S871">
        <f>CONCATENATE(F871,E871)</f>
        <v>NON FTLNON FTL</v>
      </c>
    </row>
    <row r="872">
      <c t="s" s="7" r="A872">
        <v>201</v>
      </c>
      <c s="7" r="B872">
        <v>899</v>
      </c>
      <c s="30" r="C872">
        <v>52</v>
      </c>
      <c t="s" s="30" r="D872">
        <v>136</v>
      </c>
      <c t="s" s="30" r="E872">
        <v>4</v>
      </c>
      <c t="s" s="30" r="F872">
        <v>4</v>
      </c>
      <c t="s" s="30" r="G872">
        <v>224</v>
      </c>
      <c t="str" s="12" r="H872">
        <f>HYPERLINK("http://sofifa.com/en/fifa13winter/player/149515-alexander-merkel","A. Merkel")</f>
        <v>A. Merkel</v>
      </c>
      <c s="30" r="I872">
        <v>75</v>
      </c>
      <c t="s" s="30" r="J872">
        <v>162</v>
      </c>
      <c t="s" s="30" r="K872">
        <v>159</v>
      </c>
      <c t="s" s="30" r="L872">
        <v>163</v>
      </c>
      <c s="30" r="M872">
        <v>20</v>
      </c>
      <c s="26" r="N872">
        <v>5.3</v>
      </c>
      <c s="23" r="O872">
        <v>0.011</v>
      </c>
      <c s="7" r="P872"/>
      <c s="7" r="Q872"/>
      <c s="7" r="R872">
        <f>IF((P872&gt;0),O872,0)</f>
        <v>0</v>
      </c>
      <c t="str" r="S872">
        <f>CONCATENATE(F872,E872)</f>
        <v>NON FTLNON FTL</v>
      </c>
    </row>
    <row r="873">
      <c t="s" s="7" r="A873">
        <v>201</v>
      </c>
      <c s="7" r="B873">
        <v>900</v>
      </c>
      <c s="30" r="C873">
        <v>22</v>
      </c>
      <c t="s" s="30" r="D873">
        <v>136</v>
      </c>
      <c t="s" s="30" r="E873">
        <v>4</v>
      </c>
      <c t="s" s="30" r="F873">
        <v>4</v>
      </c>
      <c t="s" s="30" r="G873">
        <v>224</v>
      </c>
      <c t="str" s="12" r="H873">
        <f>HYPERLINK("http://sofifa.com/en/fifa13winter/player/148540-matias-campos","M. Campos")</f>
        <v>M. Campos</v>
      </c>
      <c s="30" r="I873">
        <v>65</v>
      </c>
      <c t="s" s="30" r="J873">
        <v>128</v>
      </c>
      <c t="s" s="30" r="K873">
        <v>159</v>
      </c>
      <c t="s" s="30" r="L873">
        <v>137</v>
      </c>
      <c s="30" r="M873">
        <v>23</v>
      </c>
      <c s="26" r="N873">
        <v>1.1</v>
      </c>
      <c s="23" r="O873">
        <v>0.005</v>
      </c>
      <c s="7" r="P873"/>
      <c s="7" r="Q873"/>
      <c s="7" r="R873">
        <f>IF((P873&gt;0),O873,0)</f>
        <v>0</v>
      </c>
      <c t="str" r="S873">
        <f>CONCATENATE(F873,E873)</f>
        <v>NON FTLNON FTL</v>
      </c>
    </row>
    <row r="874">
      <c t="s" s="7" r="A874">
        <v>201</v>
      </c>
      <c s="7" r="B874">
        <v>901</v>
      </c>
      <c s="30" r="C874">
        <v>6</v>
      </c>
      <c t="s" s="30" r="D874">
        <v>136</v>
      </c>
      <c t="s" s="30" r="E874">
        <v>4</v>
      </c>
      <c t="s" s="30" r="F874">
        <v>4</v>
      </c>
      <c t="s" s="30" r="G874">
        <v>224</v>
      </c>
      <c t="str" s="12" r="H874">
        <f>HYPERLINK("http://sofifa.com/en/fifa13winter/player/149395-marco-faraoni","M. Faraoni")</f>
        <v>M. Faraoni</v>
      </c>
      <c s="30" r="I874">
        <v>72</v>
      </c>
      <c t="s" s="30" r="J874">
        <v>120</v>
      </c>
      <c t="s" s="30" r="K874">
        <v>114</v>
      </c>
      <c t="s" s="30" r="L874">
        <v>153</v>
      </c>
      <c s="30" r="M874">
        <v>20</v>
      </c>
      <c s="26" r="N874">
        <v>3</v>
      </c>
      <c s="23" r="O874">
        <v>0.007</v>
      </c>
      <c s="7" r="P874"/>
      <c s="7" r="Q874"/>
      <c s="7" r="R874">
        <f>IF((P874&gt;0),O874,0)</f>
        <v>0</v>
      </c>
      <c t="str" r="S874">
        <f>CONCATENATE(F874,E874)</f>
        <v>NON FTLNON FTL</v>
      </c>
    </row>
    <row r="875">
      <c t="s" s="7" r="A875">
        <v>201</v>
      </c>
      <c s="7" r="B875">
        <v>902</v>
      </c>
      <c s="30" r="C875">
        <v>94</v>
      </c>
      <c t="s" s="30" r="D875">
        <v>136</v>
      </c>
      <c t="s" s="30" r="E875">
        <v>4</v>
      </c>
      <c t="s" s="30" r="F875">
        <v>4</v>
      </c>
      <c t="s" s="30" r="G875">
        <v>224</v>
      </c>
      <c t="str" s="12" r="H875">
        <f>HYPERLINK("http://sofifa.com/en/fifa13winter/player/150333-piotr-zielinski","P. Zielinski")</f>
        <v>P. Zielinski</v>
      </c>
      <c s="30" r="I875">
        <v>69</v>
      </c>
      <c t="s" s="30" r="J875">
        <v>162</v>
      </c>
      <c t="s" s="30" r="K875">
        <v>159</v>
      </c>
      <c t="s" s="30" r="L875">
        <v>141</v>
      </c>
      <c s="30" r="M875">
        <v>18</v>
      </c>
      <c s="26" r="N875">
        <v>2.3</v>
      </c>
      <c s="23" r="O875">
        <v>0.005</v>
      </c>
      <c s="7" r="P875"/>
      <c s="7" r="Q875"/>
      <c s="7" r="R875">
        <f>IF((P875&gt;0),O875,0)</f>
        <v>0</v>
      </c>
      <c t="str" r="S875">
        <f>CONCATENATE(F875,E875)</f>
        <v>NON FTLNON FTL</v>
      </c>
    </row>
    <row r="876">
      <c t="s" s="7" r="A876">
        <v>201</v>
      </c>
      <c s="7" r="B876">
        <v>903</v>
      </c>
      <c s="30" r="C876">
        <v>7</v>
      </c>
      <c t="s" s="30" r="D876">
        <v>136</v>
      </c>
      <c t="s" s="30" r="E876">
        <v>4</v>
      </c>
      <c t="s" s="30" r="F876">
        <v>4</v>
      </c>
      <c t="s" s="30" r="G876">
        <v>224</v>
      </c>
      <c t="str" s="12" r="H876">
        <f>HYPERLINK("http://sofifa.com/en/fifa13winter/player/149068-emmanuel-agyemang-badu","E. Agyemang-Badu")</f>
        <v>E. Agyemang-Badu</v>
      </c>
      <c s="30" r="I876">
        <v>74</v>
      </c>
      <c t="s" s="30" r="J876">
        <v>124</v>
      </c>
      <c t="s" s="30" r="K876">
        <v>130</v>
      </c>
      <c t="s" s="30" r="L876">
        <v>111</v>
      </c>
      <c s="30" r="M876">
        <v>21</v>
      </c>
      <c s="26" r="N876">
        <v>3.7</v>
      </c>
      <c s="23" r="O876">
        <v>0.009</v>
      </c>
      <c s="7" r="P876"/>
      <c s="7" r="Q876"/>
      <c s="7" r="R876">
        <f>IF((P876&gt;0),O876,0)</f>
        <v>0</v>
      </c>
      <c t="str" r="S876">
        <f>CONCATENATE(F876,E876)</f>
        <v>NON FTLNON FTL</v>
      </c>
    </row>
    <row r="877">
      <c t="s" s="7" r="A877">
        <v>201</v>
      </c>
      <c s="7" r="B877">
        <v>904</v>
      </c>
      <c s="30" r="C877">
        <v>4</v>
      </c>
      <c t="s" s="30" r="D877">
        <v>136</v>
      </c>
      <c t="s" s="30" r="E877">
        <v>4</v>
      </c>
      <c t="s" s="30" r="F877">
        <v>4</v>
      </c>
      <c t="s" s="30" r="G877">
        <v>224</v>
      </c>
      <c t="str" s="12" r="H877">
        <f>HYPERLINK("http://sofifa.com/en/fifa13winter/player/148485-gabriele-angella","G. Angella")</f>
        <v>G. Angella</v>
      </c>
      <c s="30" r="I877">
        <v>70</v>
      </c>
      <c t="s" s="30" r="J877">
        <v>113</v>
      </c>
      <c t="s" s="30" r="K877">
        <v>144</v>
      </c>
      <c t="s" s="30" r="L877">
        <v>193</v>
      </c>
      <c s="30" r="M877">
        <v>23</v>
      </c>
      <c s="26" r="N877">
        <v>1.9</v>
      </c>
      <c s="23" r="O877">
        <v>0.006</v>
      </c>
      <c s="7" r="P877"/>
      <c s="7" r="Q877"/>
      <c s="7" r="R877">
        <f>IF((P877&gt;0),O877,0)</f>
        <v>0</v>
      </c>
      <c t="str" r="S877">
        <f>CONCATENATE(F877,E877)</f>
        <v>NON FTLNON FTL</v>
      </c>
    </row>
    <row r="878">
      <c t="s" s="7" r="A878">
        <v>201</v>
      </c>
      <c s="7" r="B878">
        <v>905</v>
      </c>
      <c s="30" r="C878">
        <v>75</v>
      </c>
      <c t="s" s="30" r="D878">
        <v>136</v>
      </c>
      <c t="s" s="30" r="E878">
        <v>4</v>
      </c>
      <c t="s" s="30" r="F878">
        <v>4</v>
      </c>
      <c t="s" s="30" r="G878">
        <v>224</v>
      </c>
      <c t="str" s="12" r="H878">
        <f>HYPERLINK("http://sofifa.com/en/fifa13winter/player/148186-thomas-heurtaux","T. Heurtaux")</f>
        <v>T. Heurtaux</v>
      </c>
      <c s="30" r="I878">
        <v>70</v>
      </c>
      <c t="s" s="30" r="J878">
        <v>113</v>
      </c>
      <c t="s" s="30" r="K878">
        <v>110</v>
      </c>
      <c t="s" s="30" r="L878">
        <v>161</v>
      </c>
      <c s="30" r="M878">
        <v>24</v>
      </c>
      <c s="26" r="N878">
        <v>1.9</v>
      </c>
      <c s="23" r="O878">
        <v>0.007</v>
      </c>
      <c s="7" r="P878"/>
      <c s="7" r="Q878"/>
      <c s="7" r="R878">
        <f>IF((P878&gt;0),O878,0)</f>
        <v>0</v>
      </c>
      <c t="str" r="S878">
        <f>CONCATENATE(F878,E878)</f>
        <v>NON FTLNON FTL</v>
      </c>
    </row>
    <row r="879">
      <c t="s" s="7" r="A879">
        <v>201</v>
      </c>
      <c s="7" r="B879">
        <v>906</v>
      </c>
      <c s="30" r="C879">
        <v>13</v>
      </c>
      <c t="s" s="30" r="D879">
        <v>136</v>
      </c>
      <c t="s" s="30" r="E879">
        <v>4</v>
      </c>
      <c t="s" s="30" r="F879">
        <v>4</v>
      </c>
      <c t="s" s="30" r="G879">
        <v>224</v>
      </c>
      <c t="str" s="12" r="H879">
        <f>HYPERLINK("http://sofifa.com/en/fifa13winter/player/146706-mathias-ranegie","M. Ranégie")</f>
        <v>M. Ranégie</v>
      </c>
      <c s="30" r="I879">
        <v>73</v>
      </c>
      <c t="s" s="30" r="J879">
        <v>129</v>
      </c>
      <c t="s" s="30" r="K879">
        <v>198</v>
      </c>
      <c t="s" s="30" r="L879">
        <v>185</v>
      </c>
      <c s="30" r="M879">
        <v>28</v>
      </c>
      <c s="26" r="N879">
        <v>4</v>
      </c>
      <c s="23" r="O879">
        <v>0.01</v>
      </c>
      <c s="7" r="P879"/>
      <c s="7" r="Q879"/>
      <c s="7" r="R879">
        <f>IF((P879&gt;0),O879,0)</f>
        <v>0</v>
      </c>
      <c t="str" r="S879">
        <f>CONCATENATE(F879,E879)</f>
        <v>NON FTLNON FTL</v>
      </c>
    </row>
    <row r="880">
      <c t="s" s="7" r="A880">
        <v>201</v>
      </c>
      <c s="7" r="B880">
        <v>907</v>
      </c>
      <c s="30" r="C880">
        <v>77</v>
      </c>
      <c t="s" s="30" r="D880">
        <v>136</v>
      </c>
      <c t="s" s="30" r="E880">
        <v>4</v>
      </c>
      <c t="s" s="30" r="F880">
        <v>4</v>
      </c>
      <c t="s" s="30" r="G880">
        <v>224</v>
      </c>
      <c t="str" s="12" r="H880">
        <f>HYPERLINK("http://sofifa.com/en/fifa13winter/player/147438-maicosuel-reginaldo-de-matos","Maicosuel")</f>
        <v>Maicosuel</v>
      </c>
      <c s="30" r="I880">
        <v>74</v>
      </c>
      <c t="s" s="30" r="J880">
        <v>171</v>
      </c>
      <c t="s" s="30" r="K880">
        <v>118</v>
      </c>
      <c t="s" s="30" r="L880">
        <v>122</v>
      </c>
      <c s="30" r="M880">
        <v>26</v>
      </c>
      <c s="26" r="N880">
        <v>4</v>
      </c>
      <c s="23" r="O880">
        <v>0.011</v>
      </c>
      <c s="7" r="P880"/>
      <c s="7" r="Q880"/>
      <c s="7" r="R880">
        <f>IF((P880&gt;0),O880,0)</f>
        <v>0</v>
      </c>
      <c t="str" r="S880">
        <f>CONCATENATE(F880,E880)</f>
        <v>NON FTLNON FTL</v>
      </c>
    </row>
    <row r="881">
      <c t="s" s="7" r="A881">
        <v>201</v>
      </c>
      <c s="7" r="B881">
        <v>908</v>
      </c>
      <c s="30" r="C881">
        <v>21</v>
      </c>
      <c t="s" s="30" r="D881">
        <v>136</v>
      </c>
      <c t="s" s="30" r="E881">
        <v>4</v>
      </c>
      <c t="s" s="30" r="F881">
        <v>4</v>
      </c>
      <c t="s" s="30" r="G881">
        <v>224</v>
      </c>
      <c t="str" s="12" r="H881">
        <f>HYPERLINK("http://sofifa.com/en/fifa13winter/player/146878-andrea-lazzari","A. Lazzari")</f>
        <v>A. Lazzari</v>
      </c>
      <c s="30" r="I881">
        <v>75</v>
      </c>
      <c t="s" s="30" r="J881">
        <v>124</v>
      </c>
      <c t="s" s="30" r="K881">
        <v>167</v>
      </c>
      <c t="s" s="30" r="L881">
        <v>151</v>
      </c>
      <c s="30" r="M881">
        <v>27</v>
      </c>
      <c s="26" r="N881">
        <v>4</v>
      </c>
      <c s="23" r="O881">
        <v>0.013</v>
      </c>
      <c s="7" r="P881"/>
      <c s="7" r="Q881"/>
      <c s="7" r="R881">
        <f>IF((P881&gt;0),O881,0)</f>
        <v>0</v>
      </c>
      <c t="str" r="S881">
        <f>CONCATENATE(F881,E881)</f>
        <v>NON FTLNON FTL</v>
      </c>
    </row>
    <row r="882">
      <c t="s" s="7" r="A882">
        <v>201</v>
      </c>
      <c s="7" r="B882">
        <v>909</v>
      </c>
      <c s="30" r="C882">
        <v>25</v>
      </c>
      <c t="s" s="30" r="D882">
        <v>136</v>
      </c>
      <c t="s" s="30" r="E882">
        <v>4</v>
      </c>
      <c t="s" s="30" r="F882">
        <v>4</v>
      </c>
      <c t="s" s="30" r="G882">
        <v>224</v>
      </c>
      <c t="str" s="12" r="H882">
        <f>HYPERLINK("http://sofifa.com/en/fifa13winter/player/147204-daniele-padelli","D. Padelli")</f>
        <v>D. Padelli</v>
      </c>
      <c s="30" r="I882">
        <v>70</v>
      </c>
      <c t="s" s="30" r="J882">
        <v>106</v>
      </c>
      <c t="s" s="30" r="K882">
        <v>144</v>
      </c>
      <c t="s" s="30" r="L882">
        <v>193</v>
      </c>
      <c s="30" r="M882">
        <v>26</v>
      </c>
      <c s="26" r="N882">
        <v>1.5</v>
      </c>
      <c s="23" r="O882">
        <v>0.007</v>
      </c>
      <c s="7" r="P882"/>
      <c s="7" r="Q882"/>
      <c s="7" r="R882">
        <f>IF((P882&gt;0),O882,0)</f>
        <v>0</v>
      </c>
      <c t="str" r="S882">
        <f>CONCATENATE(F882,E882)</f>
        <v>NON FTLNON FTL</v>
      </c>
    </row>
    <row r="883">
      <c t="s" s="7" r="A883">
        <v>201</v>
      </c>
      <c s="7" r="B883">
        <v>910</v>
      </c>
      <c s="30" r="C883">
        <v>43</v>
      </c>
      <c t="s" s="30" r="D883">
        <v>136</v>
      </c>
      <c t="s" s="30" r="E883">
        <v>4</v>
      </c>
      <c t="s" s="30" r="F883">
        <v>4</v>
      </c>
      <c t="s" s="30" r="G883">
        <v>224</v>
      </c>
      <c t="str" s="12" r="H883">
        <f>HYPERLINK("http://sofifa.com/en/fifa13winter/player/150244-davide-marsura","D. Marsura")</f>
        <v>D. Marsura</v>
      </c>
      <c s="30" r="I883">
        <v>60</v>
      </c>
      <c t="s" s="30" r="J883">
        <v>129</v>
      </c>
      <c t="s" s="30" r="K883">
        <v>167</v>
      </c>
      <c t="s" s="30" r="L883">
        <v>137</v>
      </c>
      <c s="30" r="M883">
        <v>18</v>
      </c>
      <c s="26" r="N883">
        <v>0.7</v>
      </c>
      <c s="23" r="O883">
        <v>0.002</v>
      </c>
      <c s="7" r="P883"/>
      <c s="7" r="Q883"/>
      <c s="7" r="R883">
        <f>IF((P883&gt;0),O883,0)</f>
        <v>0</v>
      </c>
      <c t="str" r="S883">
        <f>CONCATENATE(F883,E883)</f>
        <v>NON FTLNON FTL</v>
      </c>
    </row>
    <row r="884">
      <c t="s" s="7" r="A884">
        <v>201</v>
      </c>
      <c s="7" r="B884">
        <v>911</v>
      </c>
      <c s="30" r="C884">
        <v>42</v>
      </c>
      <c t="s" s="30" r="D884">
        <v>147</v>
      </c>
      <c t="s" s="30" r="E884">
        <v>4</v>
      </c>
      <c t="s" s="30" r="F884">
        <v>4</v>
      </c>
      <c t="s" s="30" r="G884">
        <v>224</v>
      </c>
      <c t="str" s="12" r="H884">
        <f>HYPERLINK("http://sofifa.com/en/fifa13winter/player/150261-marco-piscopo","M. Piscopo")</f>
        <v>M. Piscopo</v>
      </c>
      <c s="30" r="I884">
        <v>58</v>
      </c>
      <c t="s" s="30" r="J884">
        <v>154</v>
      </c>
      <c t="s" s="30" r="K884">
        <v>145</v>
      </c>
      <c t="s" s="30" r="L884">
        <v>146</v>
      </c>
      <c s="30" r="M884">
        <v>18</v>
      </c>
      <c s="26" r="N884">
        <v>0.3</v>
      </c>
      <c s="23" r="O884">
        <v>0.002</v>
      </c>
      <c s="7" r="P884"/>
      <c s="7" r="Q884"/>
      <c s="7" r="R884">
        <f>IF((P884&gt;0),O884,0)</f>
        <v>0</v>
      </c>
      <c t="str" r="S884">
        <f>CONCATENATE(F884,E884)</f>
        <v>NON FTLNON FTL</v>
      </c>
    </row>
    <row r="885">
      <c t="s" s="7" r="A885">
        <v>201</v>
      </c>
      <c s="7" r="B885">
        <v>912</v>
      </c>
      <c s="30" r="C885">
        <v>41</v>
      </c>
      <c t="s" s="30" r="D885">
        <v>147</v>
      </c>
      <c t="s" s="30" r="E885">
        <v>4</v>
      </c>
      <c t="s" s="30" r="F885">
        <v>4</v>
      </c>
      <c t="s" s="30" r="G885">
        <v>224</v>
      </c>
      <c t="str" s="12" r="H885">
        <f>HYPERLINK("http://sofifa.com/en/fifa13winter/player/150341-luca-baldassin","L. Baldassin")</f>
        <v>L. Baldassin</v>
      </c>
      <c s="30" r="I885">
        <v>59</v>
      </c>
      <c t="s" s="30" r="J885">
        <v>124</v>
      </c>
      <c t="s" s="30" r="K885">
        <v>118</v>
      </c>
      <c t="s" s="30" r="L885">
        <v>122</v>
      </c>
      <c s="30" r="M885">
        <v>18</v>
      </c>
      <c s="26" r="N885">
        <v>0.4</v>
      </c>
      <c s="23" r="O885">
        <v>0.002</v>
      </c>
      <c s="7" r="P885"/>
      <c s="7" r="Q885"/>
      <c s="7" r="R885">
        <f>IF((P885&gt;0),O885,0)</f>
        <v>0</v>
      </c>
      <c t="str" r="S885">
        <f>CONCATENATE(F885,E885)</f>
        <v>NON FTLNON FTL</v>
      </c>
    </row>
    <row r="886">
      <c t="s" s="7" r="A886">
        <v>201</v>
      </c>
      <c s="7" r="B886">
        <v>913</v>
      </c>
      <c s="30" r="C886">
        <v>93</v>
      </c>
      <c t="s" s="30" r="D886">
        <v>147</v>
      </c>
      <c t="s" s="30" r="E886">
        <v>4</v>
      </c>
      <c t="s" s="30" r="F886">
        <v>4</v>
      </c>
      <c t="s" s="30" r="G886">
        <v>224</v>
      </c>
      <c t="str" s="12" r="H886">
        <f>HYPERLINK("http://sofifa.com/en/fifa13winter/player/149846-wojciech-pawlowski","W. Pawłowski")</f>
        <v>W. Pawłowski</v>
      </c>
      <c s="30" r="I886">
        <v>65</v>
      </c>
      <c t="s" s="30" r="J886">
        <v>106</v>
      </c>
      <c t="s" s="30" r="K886">
        <v>152</v>
      </c>
      <c t="s" s="30" r="L886">
        <v>153</v>
      </c>
      <c s="30" r="M886">
        <v>19</v>
      </c>
      <c s="26" r="N886">
        <v>0.9</v>
      </c>
      <c s="23" r="O886">
        <v>0.004</v>
      </c>
      <c s="7" r="P886"/>
      <c s="7" r="Q886"/>
      <c s="7" r="R886">
        <f>IF((P886&gt;0),O886,0)</f>
        <v>0</v>
      </c>
      <c t="str" r="S886">
        <f>CONCATENATE(F886,E886)</f>
        <v>NON FTLNON FTL</v>
      </c>
    </row>
    <row r="887">
      <c t="s" s="7" r="A887">
        <v>201</v>
      </c>
      <c s="7" r="B887">
        <v>914</v>
      </c>
      <c s="30" r="C887">
        <v>26</v>
      </c>
      <c t="s" s="30" r="D887">
        <v>147</v>
      </c>
      <c t="s" s="30" r="E887">
        <v>4</v>
      </c>
      <c t="s" s="30" r="F887">
        <v>4</v>
      </c>
      <c t="s" s="30" r="G887">
        <v>224</v>
      </c>
      <c t="str" s="12" r="H887">
        <f>HYPERLINK("http://sofifa.com/en/fifa13winter/player/145815-giovanni-pasquale","G. Pasquale")</f>
        <v>G. Pasquale</v>
      </c>
      <c s="30" r="I887">
        <v>70</v>
      </c>
      <c t="s" s="30" r="J887">
        <v>128</v>
      </c>
      <c t="s" s="30" r="K887">
        <v>143</v>
      </c>
      <c t="s" s="30" r="L887">
        <v>146</v>
      </c>
      <c s="30" r="M887">
        <v>30</v>
      </c>
      <c s="26" r="N887">
        <v>1.6</v>
      </c>
      <c s="23" r="O887">
        <v>0.008</v>
      </c>
      <c s="7" r="P887"/>
      <c s="7" r="Q887"/>
      <c s="7" r="R887">
        <f>IF((P887&gt;0),O887,0)</f>
        <v>0</v>
      </c>
      <c t="str" r="S887">
        <f>CONCATENATE(F887,E887)</f>
        <v>NON FTLNON FTL</v>
      </c>
    </row>
    <row r="888">
      <c t="s" s="7" r="A888">
        <v>201</v>
      </c>
      <c s="7" r="B888">
        <v>915</v>
      </c>
      <c s="30" r="C888">
        <v>15</v>
      </c>
      <c t="s" s="30" r="D888">
        <v>147</v>
      </c>
      <c t="s" s="30" r="E888">
        <v>4</v>
      </c>
      <c t="s" s="30" r="F888">
        <v>4</v>
      </c>
      <c t="s" s="30" r="G888">
        <v>224</v>
      </c>
      <c t="str" s="12" r="H888">
        <f>HYPERLINK("http://sofifa.com/en/fifa13winter/player/148614-diego-rodriguez","D. Rodríguez")</f>
        <v>D. Rodríguez</v>
      </c>
      <c s="30" r="I888">
        <v>65</v>
      </c>
      <c t="s" s="30" r="J888">
        <v>154</v>
      </c>
      <c t="s" s="30" r="K888">
        <v>121</v>
      </c>
      <c t="s" s="30" r="L888">
        <v>142</v>
      </c>
      <c s="30" r="M888">
        <v>22</v>
      </c>
      <c s="26" r="N888">
        <v>1</v>
      </c>
      <c s="23" r="O888">
        <v>0.004</v>
      </c>
      <c s="7" r="P888"/>
      <c s="7" r="Q888"/>
      <c s="7" r="R888">
        <f>IF((P888&gt;0),O888,0)</f>
        <v>0</v>
      </c>
      <c t="str" r="S888">
        <f>CONCATENATE(F888,E888)</f>
        <v>NON FTLNON FTL</v>
      </c>
    </row>
    <row r="889">
      <c t="s" s="7" r="A889">
        <v>201</v>
      </c>
      <c s="7" r="B889">
        <v>916</v>
      </c>
      <c s="30" r="C889">
        <v>1</v>
      </c>
      <c t="s" s="30" r="D889">
        <v>106</v>
      </c>
      <c t="s" s="30" r="E889">
        <v>4</v>
      </c>
      <c t="s" s="30" r="F889">
        <v>4</v>
      </c>
      <c t="s" s="30" r="G889">
        <v>225</v>
      </c>
      <c t="str" s="12" r="H889">
        <f>HYPERLINK("http://sofifa.com/en/fifa13winter/player/146426-diego-benaglio","D. Benaglio")</f>
        <v>D. Benaglio</v>
      </c>
      <c s="30" r="I889">
        <v>80</v>
      </c>
      <c t="s" s="30" r="J889">
        <v>106</v>
      </c>
      <c t="s" s="30" r="K889">
        <v>188</v>
      </c>
      <c t="s" s="30" r="L889">
        <v>191</v>
      </c>
      <c s="30" r="M889">
        <v>28</v>
      </c>
      <c s="26" r="N889">
        <v>7.6</v>
      </c>
      <c s="23" r="O889">
        <v>0.031</v>
      </c>
      <c s="7" r="P889"/>
      <c s="7" r="Q889"/>
      <c s="7" r="R889">
        <f>IF((P889&gt;0),O889,0)</f>
        <v>0</v>
      </c>
      <c t="str" r="S889">
        <f>CONCATENATE(F889,E889)</f>
        <v>NON FTLNON FTL</v>
      </c>
    </row>
    <row r="890">
      <c t="s" s="7" r="A890">
        <v>201</v>
      </c>
      <c s="7" r="B890">
        <v>917</v>
      </c>
      <c s="30" r="C890">
        <v>13</v>
      </c>
      <c t="s" s="30" r="D890">
        <v>109</v>
      </c>
      <c t="s" s="30" r="E890">
        <v>4</v>
      </c>
      <c t="s" s="30" r="F890">
        <v>4</v>
      </c>
      <c t="s" s="30" r="G890">
        <v>225</v>
      </c>
      <c t="str" s="12" r="H890">
        <f>HYPERLINK("http://sofifa.com/en/fifa13winter/player/146558-makoto-hasebe","M. Hasebe")</f>
        <v>M. Hasebe</v>
      </c>
      <c s="30" r="I890">
        <v>75</v>
      </c>
      <c t="s" s="30" r="J890">
        <v>120</v>
      </c>
      <c t="s" s="30" r="K890">
        <v>114</v>
      </c>
      <c t="s" s="30" r="L890">
        <v>146</v>
      </c>
      <c s="30" r="M890">
        <v>28</v>
      </c>
      <c s="26" r="N890">
        <v>4.1</v>
      </c>
      <c s="23" r="O890">
        <v>0.013</v>
      </c>
      <c s="7" r="P890"/>
      <c s="7" r="Q890"/>
      <c s="7" r="R890">
        <f>IF((P890&gt;0),O890,0)</f>
        <v>0</v>
      </c>
      <c t="str" r="S890">
        <f>CONCATENATE(F890,E890)</f>
        <v>NON FTLNON FTL</v>
      </c>
    </row>
    <row r="891">
      <c t="s" s="7" r="A891">
        <v>201</v>
      </c>
      <c s="7" r="B891">
        <v>918</v>
      </c>
      <c s="30" r="C891">
        <v>25</v>
      </c>
      <c t="s" s="30" r="D891">
        <v>112</v>
      </c>
      <c t="s" s="30" r="E891">
        <v>4</v>
      </c>
      <c t="s" s="30" r="F891">
        <v>4</v>
      </c>
      <c t="s" s="30" r="G891">
        <v>225</v>
      </c>
      <c t="str" s="12" r="H891">
        <f>HYPERLINK("http://sofifa.com/en/fifa13winter/player/146063-ronaldo-aparecido-rodrigues","Naldo")</f>
        <v>Naldo</v>
      </c>
      <c s="30" r="I891">
        <v>80</v>
      </c>
      <c t="s" s="30" r="J891">
        <v>113</v>
      </c>
      <c t="s" s="30" r="K891">
        <v>181</v>
      </c>
      <c t="s" s="30" r="L891">
        <v>191</v>
      </c>
      <c s="30" r="M891">
        <v>29</v>
      </c>
      <c s="26" r="N891">
        <v>9.3</v>
      </c>
      <c s="23" r="O891">
        <v>0.032</v>
      </c>
      <c s="7" r="P891"/>
      <c s="7" r="Q891"/>
      <c s="7" r="R891">
        <f>IF((P891&gt;0),O891,0)</f>
        <v>0</v>
      </c>
      <c t="str" r="S891">
        <f>CONCATENATE(F891,E891)</f>
        <v>NON FTLNON FTL</v>
      </c>
    </row>
    <row r="892">
      <c t="s" s="7" r="A892">
        <v>201</v>
      </c>
      <c s="7" r="B892">
        <v>919</v>
      </c>
      <c s="30" r="C892">
        <v>31</v>
      </c>
      <c t="s" s="30" r="D892">
        <v>116</v>
      </c>
      <c t="s" s="30" r="E892">
        <v>4</v>
      </c>
      <c t="s" s="30" r="F892">
        <v>4</v>
      </c>
      <c t="s" s="30" r="G892">
        <v>225</v>
      </c>
      <c t="str" s="12" r="H892">
        <f>HYPERLINK("http://sofifa.com/en/fifa13winter/player/149605-robin-knoche","R. Knoche")</f>
        <v>R. Knoche</v>
      </c>
      <c s="30" r="I892">
        <v>67</v>
      </c>
      <c t="s" s="30" r="J892">
        <v>113</v>
      </c>
      <c t="s" s="30" r="K892">
        <v>152</v>
      </c>
      <c t="s" s="30" r="L892">
        <v>138</v>
      </c>
      <c s="30" r="M892">
        <v>20</v>
      </c>
      <c s="26" r="N892">
        <v>1.5</v>
      </c>
      <c s="23" r="O892">
        <v>0.005</v>
      </c>
      <c s="7" r="P892"/>
      <c s="7" r="Q892"/>
      <c s="7" r="R892">
        <f>IF((P892&gt;0),O892,0)</f>
        <v>0</v>
      </c>
      <c t="str" r="S892">
        <f>CONCATENATE(F892,E892)</f>
        <v>NON FTLNON FTL</v>
      </c>
    </row>
    <row r="893">
      <c t="s" s="7" r="A893">
        <v>201</v>
      </c>
      <c s="7" r="B893">
        <v>920</v>
      </c>
      <c s="30" r="C893">
        <v>34</v>
      </c>
      <c t="s" s="30" r="D893">
        <v>117</v>
      </c>
      <c t="s" s="30" r="E893">
        <v>4</v>
      </c>
      <c t="s" s="30" r="F893">
        <v>4</v>
      </c>
      <c t="s" s="30" r="G893">
        <v>225</v>
      </c>
      <c t="str" s="12" r="H893">
        <f>HYPERLINK("http://sofifa.com/en/fifa13winter/player/149700-ricardo-rodriguez","R. Rodriguez")</f>
        <v>R. Rodriguez</v>
      </c>
      <c s="30" r="I893">
        <v>74</v>
      </c>
      <c t="s" s="30" r="J893">
        <v>117</v>
      </c>
      <c t="s" s="30" r="K893">
        <v>114</v>
      </c>
      <c t="s" s="30" r="L893">
        <v>146</v>
      </c>
      <c s="30" r="M893">
        <v>20</v>
      </c>
      <c s="26" r="N893">
        <v>3.5</v>
      </c>
      <c s="23" r="O893">
        <v>0.009</v>
      </c>
      <c s="7" r="P893"/>
      <c s="7" r="Q893"/>
      <c s="7" r="R893">
        <f>IF((P893&gt;0),O893,0)</f>
        <v>0</v>
      </c>
      <c t="str" r="S893">
        <f>CONCATENATE(F893,E893)</f>
        <v>NON FTLNON FTL</v>
      </c>
    </row>
    <row r="894">
      <c t="s" s="7" r="A894">
        <v>201</v>
      </c>
      <c s="7" r="B894">
        <v>921</v>
      </c>
      <c s="30" r="C894">
        <v>15</v>
      </c>
      <c t="s" s="30" r="D894">
        <v>186</v>
      </c>
      <c t="s" s="30" r="E894">
        <v>4</v>
      </c>
      <c t="s" s="30" r="F894">
        <v>4</v>
      </c>
      <c t="s" s="30" r="G894">
        <v>225</v>
      </c>
      <c t="str" s="12" r="H894">
        <f>HYPERLINK("http://sofifa.com/en/fifa13winter/player/147880-christian-trasch","C. Träsch")</f>
        <v>C. Träsch</v>
      </c>
      <c s="30" r="I894">
        <v>75</v>
      </c>
      <c t="s" s="30" r="J894">
        <v>154</v>
      </c>
      <c t="s" s="30" r="K894">
        <v>114</v>
      </c>
      <c t="s" s="30" r="L894">
        <v>151</v>
      </c>
      <c s="30" r="M894">
        <v>24</v>
      </c>
      <c s="26" r="N894">
        <v>4.3</v>
      </c>
      <c s="23" r="O894">
        <v>0.013</v>
      </c>
      <c s="7" r="P894"/>
      <c s="7" r="Q894"/>
      <c s="7" r="R894">
        <f>IF((P894&gt;0),O894,0)</f>
        <v>0</v>
      </c>
      <c t="str" r="S894">
        <f>CONCATENATE(F894,E894)</f>
        <v>NON FTLNON FTL</v>
      </c>
    </row>
    <row r="895">
      <c t="s" s="7" r="A895">
        <v>201</v>
      </c>
      <c s="7" r="B895">
        <v>922</v>
      </c>
      <c s="30" r="C895">
        <v>29</v>
      </c>
      <c t="s" s="30" r="D895">
        <v>174</v>
      </c>
      <c t="s" s="30" r="E895">
        <v>4</v>
      </c>
      <c t="s" s="30" r="F895">
        <v>4</v>
      </c>
      <c t="s" s="30" r="G895">
        <v>225</v>
      </c>
      <c t="str" s="12" r="H895">
        <f>HYPERLINK("http://sofifa.com/en/fifa13winter/player/145518-jan-polak","J. Polák")</f>
        <v>J. Polák</v>
      </c>
      <c s="30" r="I895">
        <v>74</v>
      </c>
      <c t="s" s="30" r="J895">
        <v>154</v>
      </c>
      <c t="s" s="30" r="K895">
        <v>150</v>
      </c>
      <c t="s" s="30" r="L895">
        <v>138</v>
      </c>
      <c s="30" r="M895">
        <v>31</v>
      </c>
      <c s="26" r="N895">
        <v>2.5</v>
      </c>
      <c s="23" r="O895">
        <v>0.012</v>
      </c>
      <c s="7" r="P895"/>
      <c s="7" r="Q895"/>
      <c s="7" r="R895">
        <f>IF((P895&gt;0),O895,0)</f>
        <v>0</v>
      </c>
      <c t="str" r="S895">
        <f>CONCATENATE(F895,E895)</f>
        <v>NON FTLNON FTL</v>
      </c>
    </row>
    <row r="896">
      <c t="s" s="7" r="A896">
        <v>201</v>
      </c>
      <c s="7" r="B896">
        <v>923</v>
      </c>
      <c s="30" r="C896">
        <v>8</v>
      </c>
      <c t="s" s="30" r="D896">
        <v>120</v>
      </c>
      <c t="s" s="30" r="E896">
        <v>4</v>
      </c>
      <c t="s" s="30" r="F896">
        <v>4</v>
      </c>
      <c t="s" s="30" r="G896">
        <v>225</v>
      </c>
      <c t="str" s="12" r="H896">
        <f>HYPERLINK("http://sofifa.com/en/fifa13winter/player/147295-adelino-andre-vieira-freitas","Vieirinha")</f>
        <v>Vieirinha</v>
      </c>
      <c s="30" r="I896">
        <v>77</v>
      </c>
      <c t="s" s="30" r="J896">
        <v>120</v>
      </c>
      <c t="s" s="30" r="K896">
        <v>130</v>
      </c>
      <c t="s" s="30" r="L896">
        <v>119</v>
      </c>
      <c s="30" r="M896">
        <v>26</v>
      </c>
      <c s="26" r="N896">
        <v>6.3</v>
      </c>
      <c s="23" r="O896">
        <v>0.017</v>
      </c>
      <c s="7" r="P896"/>
      <c s="7" r="Q896"/>
      <c s="7" r="R896">
        <f>IF((P896&gt;0),O896,0)</f>
        <v>0</v>
      </c>
      <c t="str" r="S896">
        <f>CONCATENATE(F896,E896)</f>
        <v>NON FTLNON FTL</v>
      </c>
    </row>
    <row r="897">
      <c t="s" s="7" r="A897">
        <v>201</v>
      </c>
      <c s="7" r="B897">
        <v>924</v>
      </c>
      <c s="30" r="C897">
        <v>9</v>
      </c>
      <c t="s" s="30" r="D897">
        <v>128</v>
      </c>
      <c t="s" s="30" r="E897">
        <v>4</v>
      </c>
      <c t="s" s="30" r="F897">
        <v>4</v>
      </c>
      <c t="s" s="30" r="G897">
        <v>225</v>
      </c>
      <c t="str" s="12" r="H897">
        <f>HYPERLINK("http://sofifa.com/en/fifa13winter/player/148400-ivan-perisic","I. Perišić")</f>
        <v>I. Perišić</v>
      </c>
      <c s="30" r="I897">
        <v>77</v>
      </c>
      <c t="s" s="30" r="J897">
        <v>128</v>
      </c>
      <c t="s" s="30" r="K897">
        <v>155</v>
      </c>
      <c t="s" s="30" r="L897">
        <v>153</v>
      </c>
      <c s="30" r="M897">
        <v>23</v>
      </c>
      <c s="26" r="N897">
        <v>6.2</v>
      </c>
      <c s="23" r="O897">
        <v>0.016</v>
      </c>
      <c s="7" r="P897"/>
      <c s="7" r="Q897"/>
      <c s="7" r="R897">
        <f>IF((P897&gt;0),O897,0)</f>
        <v>0</v>
      </c>
      <c t="str" r="S897">
        <f>CONCATENATE(F897,E897)</f>
        <v>NON FTLNON FTL</v>
      </c>
    </row>
    <row r="898">
      <c t="s" s="7" r="A898">
        <v>201</v>
      </c>
      <c s="7" r="B898">
        <v>925</v>
      </c>
      <c s="30" r="C898">
        <v>10</v>
      </c>
      <c t="s" s="30" r="D898">
        <v>162</v>
      </c>
      <c t="s" s="30" r="E898">
        <v>4</v>
      </c>
      <c t="s" s="30" r="F898">
        <v>4</v>
      </c>
      <c t="s" s="30" r="G898">
        <v>225</v>
      </c>
      <c t="str" s="12" r="H898">
        <f>HYPERLINK("http://sofifa.com/en/fifa13winter/player/146965-diego-ribas-da-cunha","Diego")</f>
        <v>Diego</v>
      </c>
      <c s="30" r="I898">
        <v>84</v>
      </c>
      <c t="s" s="30" r="J898">
        <v>162</v>
      </c>
      <c t="s" s="30" r="K898">
        <v>130</v>
      </c>
      <c t="s" s="30" r="L898">
        <v>119</v>
      </c>
      <c s="30" r="M898">
        <v>27</v>
      </c>
      <c s="26" r="N898">
        <v>24.5</v>
      </c>
      <c s="23" r="O898">
        <v>0.083</v>
      </c>
      <c s="7" r="P898"/>
      <c s="7" r="Q898"/>
      <c s="7" r="R898">
        <f>IF((P898&gt;0),O898,0)</f>
        <v>0</v>
      </c>
      <c t="str" r="S898">
        <f>CONCATENATE(F898,E898)</f>
        <v>NON FTLNON FTL</v>
      </c>
    </row>
    <row r="899">
      <c t="s" s="7" r="A899">
        <v>201</v>
      </c>
      <c s="7" r="B899">
        <v>926</v>
      </c>
      <c s="30" r="C899">
        <v>11</v>
      </c>
      <c t="s" s="30" r="D899">
        <v>129</v>
      </c>
      <c t="s" s="30" r="E899">
        <v>4</v>
      </c>
      <c t="s" s="30" r="F899">
        <v>4</v>
      </c>
      <c t="s" s="30" r="G899">
        <v>225</v>
      </c>
      <c t="str" s="12" r="H899">
        <f>HYPERLINK("http://sofifa.com/en/fifa13winter/player/144971-ivica-olic","I. Olić")</f>
        <v>I. Olić</v>
      </c>
      <c s="30" r="I899">
        <v>78</v>
      </c>
      <c t="s" s="30" r="J899">
        <v>129</v>
      </c>
      <c t="s" s="30" r="K899">
        <v>143</v>
      </c>
      <c t="s" s="30" r="L899">
        <v>179</v>
      </c>
      <c s="30" r="M899">
        <v>32</v>
      </c>
      <c s="26" r="N899">
        <v>6.2</v>
      </c>
      <c s="23" r="O899">
        <v>0.023</v>
      </c>
      <c s="7" r="P899"/>
      <c s="7" r="Q899"/>
      <c s="7" r="R899">
        <f>IF((P899&gt;0),O899,0)</f>
        <v>0</v>
      </c>
      <c t="str" r="S899">
        <f>CONCATENATE(F899,E899)</f>
        <v>NON FTLNON FTL</v>
      </c>
    </row>
    <row r="900">
      <c t="s" s="7" r="A900">
        <v>201</v>
      </c>
      <c s="7" r="B900">
        <v>927</v>
      </c>
      <c s="30" r="C900">
        <v>30</v>
      </c>
      <c t="s" s="30" r="D900">
        <v>136</v>
      </c>
      <c t="s" s="30" r="E900">
        <v>4</v>
      </c>
      <c t="s" s="30" r="F900">
        <v>4</v>
      </c>
      <c t="s" s="30" r="G900">
        <v>225</v>
      </c>
      <c t="str" s="12" r="H900">
        <f>HYPERLINK("http://sofifa.com/en/fifa13winter/player/149175-yohandry-orozco","Y. Orozco")</f>
        <v>Y. Orozco</v>
      </c>
      <c s="30" r="I900">
        <v>68</v>
      </c>
      <c t="s" s="30" r="J900">
        <v>162</v>
      </c>
      <c t="s" s="30" r="K900">
        <v>226</v>
      </c>
      <c t="s" s="30" r="L900">
        <v>206</v>
      </c>
      <c s="30" r="M900">
        <v>21</v>
      </c>
      <c s="26" r="N900">
        <v>2</v>
      </c>
      <c s="23" r="O900">
        <v>0.005</v>
      </c>
      <c s="7" r="P900"/>
      <c s="7" r="Q900"/>
      <c s="7" r="R900">
        <f>IF((P900&gt;0),O900,0)</f>
        <v>0</v>
      </c>
      <c t="str" r="S900">
        <f>CONCATENATE(F900,E900)</f>
        <v>NON FTLNON FTL</v>
      </c>
    </row>
    <row r="901">
      <c t="s" s="7" r="A901">
        <v>201</v>
      </c>
      <c s="7" r="B901">
        <v>928</v>
      </c>
      <c s="30" r="C901">
        <v>14</v>
      </c>
      <c t="s" s="30" r="D901">
        <v>136</v>
      </c>
      <c t="s" s="30" r="E901">
        <v>4</v>
      </c>
      <c t="s" s="30" r="F901">
        <v>4</v>
      </c>
      <c t="s" s="30" r="G901">
        <v>225</v>
      </c>
      <c t="str" s="12" r="H901">
        <f>HYPERLINK("http://sofifa.com/en/fifa13winter/player/148288-vaclav-pilar","V. Pilař")</f>
        <v>V. Pilař</v>
      </c>
      <c s="30" r="I901">
        <v>75</v>
      </c>
      <c t="s" s="30" r="J901">
        <v>128</v>
      </c>
      <c t="s" s="30" r="K901">
        <v>121</v>
      </c>
      <c t="s" s="30" r="L901">
        <v>115</v>
      </c>
      <c s="30" r="M901">
        <v>23</v>
      </c>
      <c s="26" r="N901">
        <v>4.5</v>
      </c>
      <c s="23" r="O901">
        <v>0.012</v>
      </c>
      <c s="7" r="P901"/>
      <c s="7" r="Q901"/>
      <c s="7" r="R901">
        <f>IF((P901&gt;0),O901,0)</f>
        <v>0</v>
      </c>
      <c t="str" r="S901">
        <f>CONCATENATE(F901,E901)</f>
        <v>NON FTLNON FTL</v>
      </c>
    </row>
    <row r="902">
      <c t="s" s="7" r="A902">
        <v>201</v>
      </c>
      <c s="7" r="B902">
        <v>929</v>
      </c>
      <c s="30" r="C902">
        <v>27</v>
      </c>
      <c t="s" s="30" r="D902">
        <v>136</v>
      </c>
      <c t="s" s="30" r="E902">
        <v>4</v>
      </c>
      <c t="s" s="30" r="F902">
        <v>4</v>
      </c>
      <c t="s" s="30" r="G902">
        <v>225</v>
      </c>
      <c t="str" s="12" r="H902">
        <f>HYPERLINK("http://sofifa.com/en/fifa13winter/player/150340-maximilian-arnold","M. Arnold")</f>
        <v>M. Arnold</v>
      </c>
      <c s="30" r="I902">
        <v>67</v>
      </c>
      <c t="s" s="30" r="J902">
        <v>162</v>
      </c>
      <c t="s" s="30" r="K902">
        <v>110</v>
      </c>
      <c t="s" s="30" r="L902">
        <v>160</v>
      </c>
      <c s="30" r="M902">
        <v>18</v>
      </c>
      <c s="26" r="N902">
        <v>1.8</v>
      </c>
      <c s="23" r="O902">
        <v>0.004</v>
      </c>
      <c s="7" r="P902"/>
      <c s="7" r="Q902"/>
      <c s="7" r="R902">
        <f>IF((P902&gt;0),O902,0)</f>
        <v>0</v>
      </c>
      <c t="str" r="S902">
        <f>CONCATENATE(F902,E902)</f>
        <v>NON FTLNON FTL</v>
      </c>
    </row>
    <row r="903">
      <c t="s" s="7" r="A903">
        <v>201</v>
      </c>
      <c s="7" r="B903">
        <v>930</v>
      </c>
      <c s="30" r="C903">
        <v>6</v>
      </c>
      <c t="s" s="30" r="D903">
        <v>136</v>
      </c>
      <c t="s" s="30" r="E903">
        <v>4</v>
      </c>
      <c t="s" s="30" r="F903">
        <v>4</v>
      </c>
      <c t="s" s="30" r="G903">
        <v>225</v>
      </c>
      <c t="str" s="12" r="H903">
        <f>HYPERLINK("http://sofifa.com/en/fifa13winter/player/149025-slobodan-medojevic","S. Medojevic")</f>
        <v>S. Medojevic</v>
      </c>
      <c s="30" r="I903">
        <v>68</v>
      </c>
      <c t="s" s="30" r="J903">
        <v>154</v>
      </c>
      <c t="s" s="30" r="K903">
        <v>110</v>
      </c>
      <c t="s" s="30" r="L903">
        <v>161</v>
      </c>
      <c s="30" r="M903">
        <v>21</v>
      </c>
      <c s="26" r="N903">
        <v>1.6</v>
      </c>
      <c s="23" r="O903">
        <v>0.005</v>
      </c>
      <c s="7" r="P903"/>
      <c s="7" r="Q903"/>
      <c s="7" r="R903">
        <f>IF((P903&gt;0),O903,0)</f>
        <v>0</v>
      </c>
      <c t="str" r="S903">
        <f>CONCATENATE(F903,E903)</f>
        <v>NON FTLNON FTL</v>
      </c>
    </row>
    <row r="904">
      <c t="s" s="7" r="A904">
        <v>201</v>
      </c>
      <c s="7" r="B904">
        <v>931</v>
      </c>
      <c s="30" r="C904">
        <v>35</v>
      </c>
      <c t="s" s="30" r="D904">
        <v>136</v>
      </c>
      <c t="s" s="30" r="E904">
        <v>4</v>
      </c>
      <c t="s" s="30" r="F904">
        <v>4</v>
      </c>
      <c t="s" s="30" r="G904">
        <v>225</v>
      </c>
      <c t="str" s="12" r="H904">
        <f>HYPERLINK("http://sofifa.com/en/fifa13winter/player/147897-marwin-hitz","M. Hitz")</f>
        <v>M. Hitz</v>
      </c>
      <c s="30" r="I904">
        <v>69</v>
      </c>
      <c t="s" s="30" r="J904">
        <v>106</v>
      </c>
      <c t="s" s="30" r="K904">
        <v>165</v>
      </c>
      <c t="s" s="30" r="L904">
        <v>175</v>
      </c>
      <c s="30" r="M904">
        <v>24</v>
      </c>
      <c s="26" r="N904">
        <v>1.5</v>
      </c>
      <c s="23" r="O904">
        <v>0.007</v>
      </c>
      <c s="7" r="P904"/>
      <c s="7" r="Q904"/>
      <c s="7" r="R904">
        <f>IF((P904&gt;0),O904,0)</f>
        <v>0</v>
      </c>
      <c t="str" r="S904">
        <f>CONCATENATE(F904,E904)</f>
        <v>NON FTLNON FTL</v>
      </c>
    </row>
    <row r="905">
      <c t="s" s="7" r="A905">
        <v>201</v>
      </c>
      <c s="7" r="B905">
        <v>932</v>
      </c>
      <c s="30" r="C905">
        <v>12</v>
      </c>
      <c t="s" s="30" r="D905">
        <v>136</v>
      </c>
      <c t="s" s="30" r="E905">
        <v>4</v>
      </c>
      <c t="s" s="30" r="F905">
        <v>4</v>
      </c>
      <c t="s" s="30" r="G905">
        <v>225</v>
      </c>
      <c t="str" s="12" r="H905">
        <f>HYPERLINK("http://sofifa.com/en/fifa13winter/player/148518-bas-dost","B. Dost")</f>
        <v>B. Dost</v>
      </c>
      <c s="30" r="I905">
        <v>77</v>
      </c>
      <c t="s" s="30" r="J905">
        <v>129</v>
      </c>
      <c t="s" s="30" r="K905">
        <v>165</v>
      </c>
      <c t="s" s="30" r="L905">
        <v>179</v>
      </c>
      <c s="30" r="M905">
        <v>23</v>
      </c>
      <c s="26" r="N905">
        <v>7.1</v>
      </c>
      <c s="23" r="O905">
        <v>0.016</v>
      </c>
      <c s="7" r="P905"/>
      <c s="7" r="Q905"/>
      <c s="7" r="R905">
        <f>IF((P905&gt;0),O905,0)</f>
        <v>0</v>
      </c>
      <c t="str" r="S905">
        <f>CONCATENATE(F905,E905)</f>
        <v>NON FTLNON FTL</v>
      </c>
    </row>
    <row r="906">
      <c t="s" s="7" r="A906">
        <v>201</v>
      </c>
      <c s="7" r="B906">
        <v>933</v>
      </c>
      <c s="30" r="C906">
        <v>32</v>
      </c>
      <c t="s" s="30" r="D906">
        <v>136</v>
      </c>
      <c t="s" s="30" r="E906">
        <v>4</v>
      </c>
      <c t="s" s="30" r="F906">
        <v>4</v>
      </c>
      <c t="s" s="30" r="G906">
        <v>225</v>
      </c>
      <c t="str" s="12" r="H906">
        <f>HYPERLINK("http://sofifa.com/en/fifa13winter/player/148529-fagner-conserva-lemos","Fagner")</f>
        <v>Fagner</v>
      </c>
      <c s="30" r="I906">
        <v>72</v>
      </c>
      <c t="s" s="30" r="J906">
        <v>109</v>
      </c>
      <c t="s" s="30" r="K906">
        <v>148</v>
      </c>
      <c t="s" s="30" r="L906">
        <v>163</v>
      </c>
      <c s="30" r="M906">
        <v>23</v>
      </c>
      <c s="26" r="N906">
        <v>2.6</v>
      </c>
      <c s="23" r="O906">
        <v>0.008</v>
      </c>
      <c s="7" r="P906"/>
      <c s="7" r="Q906"/>
      <c s="7" r="R906">
        <f>IF((P906&gt;0),O906,0)</f>
        <v>0</v>
      </c>
      <c t="str" r="S906">
        <f>CONCATENATE(F906,E906)</f>
        <v>NON FTLNON FTL</v>
      </c>
    </row>
    <row r="907">
      <c t="s" s="7" r="A907">
        <v>201</v>
      </c>
      <c s="7" r="B907">
        <v>934</v>
      </c>
      <c s="30" r="C907">
        <v>17</v>
      </c>
      <c t="s" s="30" r="D907">
        <v>136</v>
      </c>
      <c t="s" s="30" r="E907">
        <v>4</v>
      </c>
      <c t="s" s="30" r="F907">
        <v>4</v>
      </c>
      <c t="s" s="30" r="G907">
        <v>225</v>
      </c>
      <c t="str" s="12" r="H907">
        <f>HYPERLINK("http://sofifa.com/en/fifa13winter/player/146002-alexander-madlung","A. Madlung")</f>
        <v>A. Madlung</v>
      </c>
      <c s="30" r="I907">
        <v>73</v>
      </c>
      <c t="s" s="30" r="J907">
        <v>113</v>
      </c>
      <c t="s" s="30" r="K907">
        <v>107</v>
      </c>
      <c t="s" s="30" r="L907">
        <v>135</v>
      </c>
      <c s="30" r="M907">
        <v>30</v>
      </c>
      <c s="26" r="N907">
        <v>2.7</v>
      </c>
      <c s="23" r="O907">
        <v>0.011</v>
      </c>
      <c s="7" r="P907"/>
      <c s="7" r="Q907"/>
      <c s="7" r="R907">
        <f>IF((P907&gt;0),O907,0)</f>
        <v>0</v>
      </c>
      <c t="str" r="S907">
        <f>CONCATENATE(F907,E907)</f>
        <v>NON FTLNON FTL</v>
      </c>
    </row>
    <row r="908">
      <c t="s" s="7" r="A908">
        <v>201</v>
      </c>
      <c s="7" r="B908">
        <v>935</v>
      </c>
      <c s="30" r="C908">
        <v>4</v>
      </c>
      <c t="s" s="30" r="D908">
        <v>136</v>
      </c>
      <c t="s" s="30" r="E908">
        <v>4</v>
      </c>
      <c t="s" s="30" r="F908">
        <v>4</v>
      </c>
      <c t="s" s="30" r="G908">
        <v>225</v>
      </c>
      <c t="str" s="12" r="H908">
        <f>HYPERLINK("http://sofifa.com/en/fifa13winter/player/146699-marcel-schafer","M. Schäfer")</f>
        <v>M. Schäfer</v>
      </c>
      <c s="30" r="I908">
        <v>76</v>
      </c>
      <c t="s" s="30" r="J908">
        <v>117</v>
      </c>
      <c t="s" s="30" r="K908">
        <v>167</v>
      </c>
      <c t="s" s="30" r="L908">
        <v>151</v>
      </c>
      <c s="30" r="M908">
        <v>28</v>
      </c>
      <c s="26" r="N908">
        <v>4.4</v>
      </c>
      <c s="23" r="O908">
        <v>0.015</v>
      </c>
      <c s="7" r="P908"/>
      <c s="7" r="Q908"/>
      <c s="7" r="R908">
        <f>IF((P908&gt;0),O908,0)</f>
        <v>0</v>
      </c>
      <c t="str" r="S908">
        <f>CONCATENATE(F908,E908)</f>
        <v>NON FTLNON FTL</v>
      </c>
    </row>
    <row r="909">
      <c t="s" s="7" r="A909">
        <v>201</v>
      </c>
      <c s="7" r="B909">
        <v>936</v>
      </c>
      <c s="30" r="C909">
        <v>33</v>
      </c>
      <c t="s" s="30" r="D909">
        <v>136</v>
      </c>
      <c t="s" s="30" r="E909">
        <v>4</v>
      </c>
      <c t="s" s="30" r="F909">
        <v>4</v>
      </c>
      <c t="s" s="30" r="G909">
        <v>225</v>
      </c>
      <c t="str" s="12" r="H909">
        <f>HYPERLINK("http://sofifa.com/en/fifa13winter/player/146601-patrick-helmes","P. Helmes")</f>
        <v>P. Helmes</v>
      </c>
      <c s="30" r="I909">
        <v>78</v>
      </c>
      <c t="s" s="30" r="J909">
        <v>129</v>
      </c>
      <c t="s" s="30" r="K909">
        <v>143</v>
      </c>
      <c t="s" s="30" r="L909">
        <v>183</v>
      </c>
      <c s="30" r="M909">
        <v>28</v>
      </c>
      <c s="26" r="N909">
        <v>7.8</v>
      </c>
      <c s="23" r="O909">
        <v>0.02</v>
      </c>
      <c s="7" r="P909"/>
      <c s="7" r="Q909"/>
      <c s="7" r="R909">
        <f>IF((P909&gt;0),O909,0)</f>
        <v>0</v>
      </c>
      <c t="str" r="S909">
        <f>CONCATENATE(F909,E909)</f>
        <v>NON FTLNON FTL</v>
      </c>
    </row>
    <row r="910">
      <c t="s" s="7" r="A910">
        <v>201</v>
      </c>
      <c s="7" r="B910">
        <v>937</v>
      </c>
      <c s="30" r="C910">
        <v>40</v>
      </c>
      <c t="s" s="30" r="D910">
        <v>136</v>
      </c>
      <c t="s" s="30" r="E910">
        <v>4</v>
      </c>
      <c t="s" s="30" r="F910">
        <v>4</v>
      </c>
      <c t="s" s="30" r="G910">
        <v>225</v>
      </c>
      <c t="str" s="12" r="H910">
        <f>HYPERLINK("http://sofifa.com/en/fifa13winter/player/148452-simon-kjaer","S. Kjær")</f>
        <v>S. Kjær</v>
      </c>
      <c s="30" r="I910">
        <v>76</v>
      </c>
      <c t="s" s="30" r="J910">
        <v>113</v>
      </c>
      <c t="s" s="30" r="K910">
        <v>152</v>
      </c>
      <c t="s" s="30" r="L910">
        <v>193</v>
      </c>
      <c s="30" r="M910">
        <v>23</v>
      </c>
      <c s="26" r="N910">
        <v>5.1</v>
      </c>
      <c s="23" r="O910">
        <v>0.014</v>
      </c>
      <c s="7" r="P910"/>
      <c s="7" r="Q910"/>
      <c s="7" r="R910">
        <f>IF((P910&gt;0),O910,0)</f>
        <v>0</v>
      </c>
      <c t="str" r="S910">
        <f>CONCATENATE(F910,E910)</f>
        <v>NON FTLNON FTL</v>
      </c>
    </row>
    <row r="911">
      <c t="s" s="7" r="A911">
        <v>201</v>
      </c>
      <c s="7" r="B911">
        <v>938</v>
      </c>
      <c s="30" r="C911">
        <v>38</v>
      </c>
      <c t="s" s="30" r="D911">
        <v>136</v>
      </c>
      <c t="s" s="30" r="E911">
        <v>4</v>
      </c>
      <c t="s" s="30" r="F911">
        <v>4</v>
      </c>
      <c t="s" s="30" r="G911">
        <v>225</v>
      </c>
      <c t="str" s="12" r="H911">
        <f>HYPERLINK("http://sofifa.com/en/fifa13winter/player/146254-thomas-kahlenberg","T. Kahlenberg")</f>
        <v>T. Kahlenberg</v>
      </c>
      <c s="30" r="I911">
        <v>73</v>
      </c>
      <c t="s" s="30" r="J911">
        <v>128</v>
      </c>
      <c t="s" s="30" r="K911">
        <v>110</v>
      </c>
      <c t="s" s="30" r="L911">
        <v>137</v>
      </c>
      <c s="30" r="M911">
        <v>29</v>
      </c>
      <c s="26" r="N911">
        <v>2.8</v>
      </c>
      <c s="23" r="O911">
        <v>0.011</v>
      </c>
      <c s="7" r="P911"/>
      <c s="7" r="Q911"/>
      <c s="7" r="R911">
        <f>IF((P911&gt;0),O911,0)</f>
        <v>0</v>
      </c>
      <c t="str" r="S911">
        <f>CONCATENATE(F911,E911)</f>
        <v>NON FTLNON FTL</v>
      </c>
    </row>
    <row r="912">
      <c t="s" s="7" r="A912">
        <v>201</v>
      </c>
      <c s="7" r="B912">
        <v>939</v>
      </c>
      <c s="30" r="C912">
        <v>18</v>
      </c>
      <c t="s" s="30" r="D912">
        <v>147</v>
      </c>
      <c t="s" s="30" r="E912">
        <v>4</v>
      </c>
      <c t="s" s="30" r="F912">
        <v>4</v>
      </c>
      <c t="s" s="30" r="G912">
        <v>225</v>
      </c>
      <c t="str" s="12" r="H912">
        <f>HYPERLINK("http://sofifa.com/en/fifa13winter/player/149386-kevin-pannewitz","K. Pannewitz")</f>
        <v>K. Pannewitz</v>
      </c>
      <c s="30" r="I912">
        <v>66</v>
      </c>
      <c t="s" s="30" r="J912">
        <v>154</v>
      </c>
      <c t="s" s="30" r="K912">
        <v>110</v>
      </c>
      <c t="s" s="30" r="L912">
        <v>178</v>
      </c>
      <c s="30" r="M912">
        <v>20</v>
      </c>
      <c s="26" r="N912">
        <v>1.2</v>
      </c>
      <c s="23" r="O912">
        <v>0.004</v>
      </c>
      <c s="7" r="P912"/>
      <c s="7" r="Q912"/>
      <c s="7" r="R912">
        <f>IF((P912&gt;0),O912,0)</f>
        <v>0</v>
      </c>
      <c t="str" r="S912">
        <f>CONCATENATE(F912,E912)</f>
        <v>NON FTLNON FTL</v>
      </c>
    </row>
    <row r="913">
      <c t="s" s="7" r="A913">
        <v>201</v>
      </c>
      <c s="7" r="B913">
        <v>940</v>
      </c>
      <c s="30" r="C913">
        <v>37</v>
      </c>
      <c t="s" s="30" r="D913">
        <v>147</v>
      </c>
      <c t="s" s="30" r="E913">
        <v>4</v>
      </c>
      <c t="s" s="30" r="F913">
        <v>4</v>
      </c>
      <c t="s" s="30" r="G913">
        <v>225</v>
      </c>
      <c t="str" s="12" r="H913">
        <f>HYPERLINK("http://sofifa.com/en/fifa13winter/player/148901-ferhan-hasani","F. Hasani")</f>
        <v>F. Hasani</v>
      </c>
      <c s="30" r="I913">
        <v>67</v>
      </c>
      <c t="s" s="30" r="J913">
        <v>120</v>
      </c>
      <c t="s" s="30" r="K913">
        <v>134</v>
      </c>
      <c t="s" s="30" r="L913">
        <v>163</v>
      </c>
      <c s="30" r="M913">
        <v>22</v>
      </c>
      <c s="26" r="N913">
        <v>1.5</v>
      </c>
      <c s="23" r="O913">
        <v>0.005</v>
      </c>
      <c s="7" r="P913"/>
      <c s="7" r="Q913"/>
      <c s="7" r="R913">
        <f>IF((P913&gt;0),O913,0)</f>
        <v>0</v>
      </c>
      <c t="str" r="S913">
        <f>CONCATENATE(F913,E913)</f>
        <v>NON FTLNON FTL</v>
      </c>
    </row>
    <row r="914">
      <c t="s" s="7" r="A914">
        <v>201</v>
      </c>
      <c s="7" r="B914">
        <v>941</v>
      </c>
      <c s="30" r="C914">
        <v>16</v>
      </c>
      <c t="s" s="30" r="D914">
        <v>147</v>
      </c>
      <c t="s" s="30" r="E914">
        <v>4</v>
      </c>
      <c t="s" s="30" r="F914">
        <v>4</v>
      </c>
      <c t="s" s="30" r="G914">
        <v>225</v>
      </c>
      <c t="str" s="12" r="H914">
        <f>HYPERLINK("http://sofifa.com/en/fifa13winter/player/144918-sotirios-kyrgiakos","S. Kyrgiakos")</f>
        <v>S. Kyrgiakos</v>
      </c>
      <c s="30" r="I914">
        <v>71</v>
      </c>
      <c t="s" s="30" r="J914">
        <v>113</v>
      </c>
      <c t="s" s="30" r="K914">
        <v>107</v>
      </c>
      <c t="s" s="30" r="L914">
        <v>175</v>
      </c>
      <c s="30" r="M914">
        <v>33</v>
      </c>
      <c s="26" r="N914">
        <v>1.7</v>
      </c>
      <c s="23" r="O914">
        <v>0.01</v>
      </c>
      <c s="7" r="P914"/>
      <c s="7" r="Q914"/>
      <c s="7" r="R914">
        <f>IF((P914&gt;0),O914,0)</f>
        <v>0</v>
      </c>
      <c t="str" r="S914">
        <f>CONCATENATE(F914,E914)</f>
        <v>NON FTLNON FTL</v>
      </c>
    </row>
    <row r="915">
      <c t="s" s="7" r="A915">
        <v>201</v>
      </c>
      <c s="7" r="B915">
        <v>942</v>
      </c>
      <c s="30" r="C915">
        <v>21</v>
      </c>
      <c t="s" s="30" r="D915">
        <v>147</v>
      </c>
      <c t="s" s="30" r="E915">
        <v>4</v>
      </c>
      <c t="s" s="30" r="F915">
        <v>4</v>
      </c>
      <c t="s" s="30" r="G915">
        <v>225</v>
      </c>
      <c t="str" s="12" r="H915">
        <f>HYPERLINK("http://sofifa.com/en/fifa13winter/player/149863-patrick-drewes","P. Drewes")</f>
        <v>P. Drewes</v>
      </c>
      <c s="30" r="I915">
        <v>62</v>
      </c>
      <c t="s" s="30" r="J915">
        <v>106</v>
      </c>
      <c t="s" s="30" r="K915">
        <v>188</v>
      </c>
      <c t="s" s="30" r="L915">
        <v>192</v>
      </c>
      <c s="30" r="M915">
        <v>19</v>
      </c>
      <c s="26" r="N915">
        <v>0.6</v>
      </c>
      <c s="23" r="O915">
        <v>0.003</v>
      </c>
      <c s="7" r="P915"/>
      <c s="7" r="Q915"/>
      <c s="7" r="R915">
        <f>IF((P915&gt;0),O915,0)</f>
        <v>0</v>
      </c>
      <c t="str" r="S915">
        <f>CONCATENATE(F915,E915)</f>
        <v>NON FTLNON FTL</v>
      </c>
    </row>
    <row r="916">
      <c t="s" s="7" r="A916">
        <v>201</v>
      </c>
      <c s="7" r="B916">
        <v>943</v>
      </c>
      <c s="30" r="C916">
        <v>13</v>
      </c>
      <c t="s" s="30" r="D916">
        <v>106</v>
      </c>
      <c t="s" s="30" r="E916">
        <v>4</v>
      </c>
      <c t="s" s="30" r="F916">
        <v>4</v>
      </c>
      <c t="s" s="30" r="G916">
        <v>227</v>
      </c>
      <c t="str" s="12" r="H916">
        <f>HYPERLINK("http://sofifa.com/en/fifa13winter/player/145931-antonio-alberto-bastos-pimparel","Beto")</f>
        <v>Beto</v>
      </c>
      <c s="30" r="I916">
        <v>78</v>
      </c>
      <c t="s" s="30" r="J916">
        <v>106</v>
      </c>
      <c t="s" s="30" r="K916">
        <v>150</v>
      </c>
      <c t="s" s="30" r="L916">
        <v>183</v>
      </c>
      <c s="30" r="M916">
        <v>30</v>
      </c>
      <c s="26" r="N916">
        <v>4.6</v>
      </c>
      <c s="23" r="O916">
        <v>0.021</v>
      </c>
      <c s="7" r="P916"/>
      <c s="7" r="Q916"/>
      <c s="7" r="R916">
        <f>IF((P916&gt;0),O916,0)</f>
        <v>0</v>
      </c>
      <c t="str" r="S916">
        <f>CONCATENATE(F916,E916)</f>
        <v>NON FTLNON FTL</v>
      </c>
    </row>
    <row r="917">
      <c t="s" s="7" r="A917">
        <v>201</v>
      </c>
      <c s="7" r="B917">
        <v>944</v>
      </c>
      <c s="30" r="C917">
        <v>23</v>
      </c>
      <c t="s" s="30" r="D917">
        <v>109</v>
      </c>
      <c t="s" s="30" r="E917">
        <v>4</v>
      </c>
      <c t="s" s="30" r="F917">
        <v>4</v>
      </c>
      <c t="s" s="30" r="G917">
        <v>227</v>
      </c>
      <c t="str" s="12" r="H917">
        <f>HYPERLINK("http://sofifa.com/en/fifa13winter/player/147752-jorge-andujar-moreno","Coke")</f>
        <v>Coke</v>
      </c>
      <c s="30" r="I917">
        <v>74</v>
      </c>
      <c t="s" s="30" r="J917">
        <v>109</v>
      </c>
      <c t="s" s="30" r="K917">
        <v>143</v>
      </c>
      <c t="s" s="30" r="L917">
        <v>161</v>
      </c>
      <c s="30" r="M917">
        <v>25</v>
      </c>
      <c s="26" r="N917">
        <v>3.2</v>
      </c>
      <c s="23" r="O917">
        <v>0.011</v>
      </c>
      <c s="7" r="P917"/>
      <c s="7" r="Q917"/>
      <c s="7" r="R917">
        <f>IF((P917&gt;0),O917,0)</f>
        <v>0</v>
      </c>
      <c t="str" r="S917">
        <f>CONCATENATE(F917,E917)</f>
        <v>NON FTLNON FTL</v>
      </c>
    </row>
    <row r="918">
      <c t="s" s="7" r="A918">
        <v>201</v>
      </c>
      <c s="7" r="B918">
        <v>945</v>
      </c>
      <c s="30" r="C918">
        <v>5</v>
      </c>
      <c t="s" s="30" r="D918">
        <v>112</v>
      </c>
      <c t="s" s="30" r="E918">
        <v>4</v>
      </c>
      <c t="s" s="30" r="F918">
        <v>4</v>
      </c>
      <c t="s" s="30" r="G918">
        <v>227</v>
      </c>
      <c t="str" s="12" r="H918">
        <f>HYPERLINK("http://sofifa.com/en/fifa13winter/player/148697-juan-torres-ruiz","Cala")</f>
        <v>Cala</v>
      </c>
      <c s="30" r="I918">
        <v>73</v>
      </c>
      <c t="s" s="30" r="J918">
        <v>113</v>
      </c>
      <c t="s" s="30" r="K918">
        <v>155</v>
      </c>
      <c t="s" s="30" r="L918">
        <v>146</v>
      </c>
      <c s="30" r="M918">
        <v>22</v>
      </c>
      <c s="26" r="N918">
        <v>3.2</v>
      </c>
      <c s="23" r="O918">
        <v>0.009</v>
      </c>
      <c s="7" r="P918"/>
      <c s="7" r="Q918"/>
      <c s="7" r="R918">
        <f>IF((P918&gt;0),O918,0)</f>
        <v>0</v>
      </c>
      <c t="str" r="S918">
        <f>CONCATENATE(F918,E918)</f>
        <v>NON FTLNON FTL</v>
      </c>
    </row>
    <row r="919">
      <c t="s" s="7" r="A919">
        <v>201</v>
      </c>
      <c s="7" r="B919">
        <v>946</v>
      </c>
      <c s="30" r="C919">
        <v>3</v>
      </c>
      <c t="s" s="30" r="D919">
        <v>116</v>
      </c>
      <c t="s" s="30" r="E919">
        <v>4</v>
      </c>
      <c t="s" s="30" r="F919">
        <v>4</v>
      </c>
      <c t="s" s="30" r="G919">
        <v>227</v>
      </c>
      <c t="str" s="12" r="H919">
        <f>HYPERLINK("http://sofifa.com/en/fifa13winter/player/145986-fernando-navarro-corbacho","Fernando Navarro")</f>
        <v>Fernando Navarro</v>
      </c>
      <c s="30" r="I919">
        <v>76</v>
      </c>
      <c t="s" s="30" r="J919">
        <v>117</v>
      </c>
      <c t="s" s="30" r="K919">
        <v>118</v>
      </c>
      <c t="s" s="30" r="L919">
        <v>122</v>
      </c>
      <c s="30" r="M919">
        <v>30</v>
      </c>
      <c s="26" r="N919">
        <v>3.9</v>
      </c>
      <c s="23" r="O919">
        <v>0.017</v>
      </c>
      <c s="7" r="P919"/>
      <c s="7" r="Q919"/>
      <c s="7" r="R919">
        <f>IF((P919&gt;0),O919,0)</f>
        <v>0</v>
      </c>
      <c t="str" r="S919">
        <f>CONCATENATE(F919,E919)</f>
        <v>NON FTLNON FTL</v>
      </c>
    </row>
    <row r="920">
      <c t="s" s="7" r="A920">
        <v>201</v>
      </c>
      <c s="7" r="B920">
        <v>947</v>
      </c>
      <c s="30" r="C920">
        <v>35</v>
      </c>
      <c t="s" s="30" r="D920">
        <v>117</v>
      </c>
      <c t="s" s="30" r="E920">
        <v>4</v>
      </c>
      <c t="s" s="30" r="F920">
        <v>4</v>
      </c>
      <c t="s" s="30" r="G920">
        <v>227</v>
      </c>
      <c t="str" s="12" r="H920">
        <f>HYPERLINK("http://sofifa.com/en/fifa13winter/player/149649-alberto-moreno-perez","Alberto")</f>
        <v>Alberto</v>
      </c>
      <c s="30" r="I920">
        <v>68</v>
      </c>
      <c t="s" s="30" r="J920">
        <v>117</v>
      </c>
      <c t="s" s="30" r="K920">
        <v>195</v>
      </c>
      <c t="s" s="30" r="L920">
        <v>163</v>
      </c>
      <c s="30" r="M920">
        <v>20</v>
      </c>
      <c s="26" r="N920">
        <v>1.6</v>
      </c>
      <c s="23" r="O920">
        <v>0.005</v>
      </c>
      <c s="7" r="P920"/>
      <c s="7" r="Q920"/>
      <c s="7" r="R920">
        <f>IF((P920&gt;0),O920,0)</f>
        <v>0</v>
      </c>
      <c t="str" r="S920">
        <f>CONCATENATE(F920,E920)</f>
        <v>NON FTLNON FTL</v>
      </c>
    </row>
    <row r="921">
      <c t="s" s="7" r="A921">
        <v>201</v>
      </c>
      <c s="7" r="B921">
        <v>948</v>
      </c>
      <c s="30" r="C921">
        <v>8</v>
      </c>
      <c t="s" s="30" r="D921">
        <v>123</v>
      </c>
      <c t="s" s="30" r="E921">
        <v>4</v>
      </c>
      <c t="s" s="30" r="F921">
        <v>4</v>
      </c>
      <c t="s" s="30" r="G921">
        <v>227</v>
      </c>
      <c t="str" s="12" r="H921">
        <f>HYPERLINK("http://sofifa.com/en/fifa13winter/player/147851-gary-medel","G. Medel")</f>
        <v>G. Medel</v>
      </c>
      <c s="30" r="I921">
        <v>78</v>
      </c>
      <c t="s" s="30" r="J921">
        <v>154</v>
      </c>
      <c t="s" s="30" r="K921">
        <v>187</v>
      </c>
      <c t="s" s="30" r="L921">
        <v>142</v>
      </c>
      <c s="30" r="M921">
        <v>25</v>
      </c>
      <c s="26" r="N921">
        <v>6.6</v>
      </c>
      <c s="23" r="O921">
        <v>0.019</v>
      </c>
      <c s="7" r="P921"/>
      <c s="7" r="Q921"/>
      <c s="7" r="R921">
        <f>IF((P921&gt;0),O921,0)</f>
        <v>0</v>
      </c>
      <c t="str" r="S921">
        <f>CONCATENATE(F921,E921)</f>
        <v>NON FTLNON FTL</v>
      </c>
    </row>
    <row r="922">
      <c t="s" s="7" r="A922">
        <v>201</v>
      </c>
      <c s="7" r="B922">
        <v>949</v>
      </c>
      <c s="30" r="C922">
        <v>22</v>
      </c>
      <c t="s" s="30" r="D922">
        <v>126</v>
      </c>
      <c t="s" s="30" r="E922">
        <v>4</v>
      </c>
      <c t="s" s="30" r="F922">
        <v>4</v>
      </c>
      <c t="s" s="30" r="G922">
        <v>227</v>
      </c>
      <c t="str" s="12" r="H922">
        <f>HYPERLINK("http://sofifa.com/en/fifa13winter/player/149874-geoffrey-kondogbia","G. Kondogbia")</f>
        <v>G. Kondogbia</v>
      </c>
      <c s="30" r="I922">
        <v>77</v>
      </c>
      <c t="s" s="30" r="J922">
        <v>154</v>
      </c>
      <c t="s" s="30" r="K922">
        <v>134</v>
      </c>
      <c t="s" s="30" r="L922">
        <v>153</v>
      </c>
      <c s="30" r="M922">
        <v>19</v>
      </c>
      <c s="26" r="N922">
        <v>6.6</v>
      </c>
      <c s="23" r="O922">
        <v>0.013</v>
      </c>
      <c s="7" r="P922"/>
      <c s="7" r="Q922"/>
      <c s="7" r="R922">
        <f>IF((P922&gt;0),O922,0)</f>
        <v>0</v>
      </c>
      <c t="str" r="S922">
        <f>CONCATENATE(F922,E922)</f>
        <v>NON FTLNON FTL</v>
      </c>
    </row>
    <row r="923">
      <c t="s" s="7" r="A923">
        <v>201</v>
      </c>
      <c s="7" r="B923">
        <v>950</v>
      </c>
      <c s="30" r="C923">
        <v>11</v>
      </c>
      <c t="s" s="30" r="D923">
        <v>162</v>
      </c>
      <c t="s" s="30" r="E923">
        <v>4</v>
      </c>
      <c t="s" s="30" r="F923">
        <v>4</v>
      </c>
      <c t="s" s="30" r="G923">
        <v>227</v>
      </c>
      <c t="str" s="12" r="H923">
        <f>HYPERLINK("http://sofifa.com/en/fifa13winter/player/148071-ivan-rakitic","I. Rakitić")</f>
        <v>I. Rakitić</v>
      </c>
      <c s="30" r="I923">
        <v>79</v>
      </c>
      <c t="s" s="30" r="J923">
        <v>162</v>
      </c>
      <c t="s" s="30" r="K923">
        <v>167</v>
      </c>
      <c t="s" s="30" r="L923">
        <v>146</v>
      </c>
      <c s="30" r="M923">
        <v>24</v>
      </c>
      <c s="26" r="N923">
        <v>8.5</v>
      </c>
      <c s="23" r="O923">
        <v>0.022</v>
      </c>
      <c s="7" r="P923"/>
      <c s="7" r="Q923"/>
      <c s="7" r="R923">
        <f>IF((P923&gt;0),O923,0)</f>
        <v>0</v>
      </c>
      <c t="str" r="S923">
        <f>CONCATENATE(F923,E923)</f>
        <v>NON FTLNON FTL</v>
      </c>
    </row>
    <row r="924">
      <c t="s" s="7" r="A924">
        <v>201</v>
      </c>
      <c s="7" r="B924">
        <v>951</v>
      </c>
      <c s="30" r="C924">
        <v>10</v>
      </c>
      <c t="s" s="30" r="D924">
        <v>157</v>
      </c>
      <c t="s" s="30" r="E924">
        <v>4</v>
      </c>
      <c t="s" s="30" r="F924">
        <v>4</v>
      </c>
      <c t="s" s="30" r="G924">
        <v>227</v>
      </c>
      <c t="str" s="12" r="H924">
        <f>HYPERLINK("http://sofifa.com/en/fifa13winter/player/148209-diego-perotti","D. Perotti")</f>
        <v>D. Perotti</v>
      </c>
      <c s="30" r="I924">
        <v>74</v>
      </c>
      <c t="s" s="30" r="J924">
        <v>170</v>
      </c>
      <c t="s" s="30" r="K924">
        <v>145</v>
      </c>
      <c t="s" s="30" r="L924">
        <v>122</v>
      </c>
      <c s="30" r="M924">
        <v>24</v>
      </c>
      <c s="26" r="N924">
        <v>3.8</v>
      </c>
      <c s="23" r="O924">
        <v>0.011</v>
      </c>
      <c s="7" r="P924"/>
      <c s="7" r="Q924"/>
      <c s="7" r="R924">
        <f>IF((P924&gt;0),O924,0)</f>
        <v>0</v>
      </c>
      <c t="str" r="S924">
        <f>CONCATENATE(F924,E924)</f>
        <v>NON FTLNON FTL</v>
      </c>
    </row>
    <row r="925">
      <c t="s" s="7" r="A925">
        <v>201</v>
      </c>
      <c s="7" r="B925">
        <v>952</v>
      </c>
      <c s="30" r="C925">
        <v>9</v>
      </c>
      <c t="s" s="30" r="D925">
        <v>129</v>
      </c>
      <c t="s" s="30" r="E925">
        <v>4</v>
      </c>
      <c t="s" s="30" r="F925">
        <v>4</v>
      </c>
      <c t="s" s="30" r="G925">
        <v>227</v>
      </c>
      <c t="str" s="12" r="H925">
        <f>HYPERLINK("http://sofifa.com/en/fifa13winter/player/147138-alvaro-negredo-sanchez","Negredo")</f>
        <v>Negredo</v>
      </c>
      <c s="30" r="I925">
        <v>83</v>
      </c>
      <c t="s" s="30" r="J925">
        <v>129</v>
      </c>
      <c t="s" s="30" r="K925">
        <v>173</v>
      </c>
      <c t="s" s="30" r="L925">
        <v>158</v>
      </c>
      <c s="30" r="M925">
        <v>27</v>
      </c>
      <c s="26" r="N925">
        <v>17.9</v>
      </c>
      <c s="23" r="O925">
        <v>0.068</v>
      </c>
      <c s="7" r="P925"/>
      <c s="7" r="Q925"/>
      <c s="7" r="R925">
        <f>IF((P925&gt;0),O925,0)</f>
        <v>0</v>
      </c>
      <c t="str" r="S925">
        <f>CONCATENATE(F925,E925)</f>
        <v>NON FTLNON FTL</v>
      </c>
    </row>
    <row r="926">
      <c t="s" s="7" r="A926">
        <v>201</v>
      </c>
      <c s="7" r="B926">
        <v>953</v>
      </c>
      <c s="30" r="C926">
        <v>19</v>
      </c>
      <c t="s" s="30" r="D926">
        <v>170</v>
      </c>
      <c t="s" s="30" r="E926">
        <v>4</v>
      </c>
      <c t="s" s="30" r="F926">
        <v>4</v>
      </c>
      <c t="s" s="30" r="G926">
        <v>227</v>
      </c>
      <c t="str" s="12" r="H926">
        <f>HYPERLINK("http://sofifa.com/en/fifa13winter/player/146419-jose-antonio-reyes-calderon","Reyes")</f>
        <v>Reyes</v>
      </c>
      <c s="30" r="I926">
        <v>77</v>
      </c>
      <c t="s" s="30" r="J926">
        <v>170</v>
      </c>
      <c t="s" s="30" r="K926">
        <v>118</v>
      </c>
      <c t="s" s="30" r="L926">
        <v>151</v>
      </c>
      <c s="30" r="M926">
        <v>28</v>
      </c>
      <c s="26" r="N926">
        <v>5.9</v>
      </c>
      <c s="23" r="O926">
        <v>0.017</v>
      </c>
      <c s="7" r="P926"/>
      <c s="7" r="Q926"/>
      <c s="7" r="R926">
        <f>IF((P926&gt;0),O926,0)</f>
        <v>0</v>
      </c>
      <c t="str" r="S926">
        <f>CONCATENATE(F926,E926)</f>
        <v>NON FTLNON FTL</v>
      </c>
    </row>
    <row r="927">
      <c t="s" s="7" r="A927">
        <v>201</v>
      </c>
      <c s="7" r="B927">
        <v>954</v>
      </c>
      <c s="30" r="C927">
        <v>6</v>
      </c>
      <c t="s" s="30" r="D927">
        <v>136</v>
      </c>
      <c t="s" s="30" r="E927">
        <v>4</v>
      </c>
      <c t="s" s="30" r="F927">
        <v>4</v>
      </c>
      <c t="s" s="30" r="G927">
        <v>227</v>
      </c>
      <c t="str" s="12" r="H927">
        <f>HYPERLINK("http://sofifa.com/en/fifa13winter/player/149979-jose-gomez-campana","Campaña")</f>
        <v>Campaña</v>
      </c>
      <c s="30" r="I927">
        <v>70</v>
      </c>
      <c t="s" s="30" r="J927">
        <v>124</v>
      </c>
      <c t="s" s="30" r="K927">
        <v>145</v>
      </c>
      <c t="s" s="30" r="L927">
        <v>160</v>
      </c>
      <c s="30" r="M927">
        <v>19</v>
      </c>
      <c s="26" r="N927">
        <v>2.1</v>
      </c>
      <c s="23" r="O927">
        <v>0.005</v>
      </c>
      <c s="7" r="P927"/>
      <c s="7" r="Q927"/>
      <c s="7" r="R927">
        <f>IF((P927&gt;0),O927,0)</f>
        <v>0</v>
      </c>
      <c t="str" r="S927">
        <f>CONCATENATE(F927,E927)</f>
        <v>NON FTLNON FTL</v>
      </c>
    </row>
    <row r="928">
      <c t="s" s="7" r="A928">
        <v>201</v>
      </c>
      <c s="7" r="B928">
        <v>955</v>
      </c>
      <c s="30" r="C928">
        <v>18</v>
      </c>
      <c t="s" s="30" r="D928">
        <v>136</v>
      </c>
      <c t="s" s="30" r="E928">
        <v>4</v>
      </c>
      <c t="s" s="30" r="F928">
        <v>4</v>
      </c>
      <c t="s" s="30" r="G928">
        <v>227</v>
      </c>
      <c t="str" s="12" r="H928">
        <f>HYPERLINK("http://sofifa.com/en/fifa13winter/player/148942-miroslav-stevanovic","M. Stevanović")</f>
        <v>M. Stevanović</v>
      </c>
      <c s="30" r="I928">
        <v>72</v>
      </c>
      <c t="s" s="30" r="J928">
        <v>157</v>
      </c>
      <c t="s" s="30" r="K928">
        <v>114</v>
      </c>
      <c t="s" s="30" r="L928">
        <v>146</v>
      </c>
      <c s="30" r="M928">
        <v>22</v>
      </c>
      <c s="26" r="N928">
        <v>3</v>
      </c>
      <c s="23" r="O928">
        <v>0.008</v>
      </c>
      <c s="7" r="P928"/>
      <c s="7" r="Q928"/>
      <c s="7" r="R928">
        <f>IF((P928&gt;0),O928,0)</f>
        <v>0</v>
      </c>
      <c t="str" r="S928">
        <f>CONCATENATE(F928,E928)</f>
        <v>NON FTLNON FTL</v>
      </c>
    </row>
    <row r="929">
      <c t="s" s="7" r="A929">
        <v>201</v>
      </c>
      <c s="7" r="B929">
        <v>956</v>
      </c>
      <c s="30" r="C929">
        <v>30</v>
      </c>
      <c t="s" s="30" r="D929">
        <v>136</v>
      </c>
      <c t="s" s="30" r="E929">
        <v>4</v>
      </c>
      <c t="s" s="30" r="F929">
        <v>4</v>
      </c>
      <c t="s" s="30" r="G929">
        <v>227</v>
      </c>
      <c t="str" s="12" r="H929">
        <f>HYPERLINK("http://sofifa.com/en/fifa13winter/player/150329-bryan-rabello","B. Rabello")</f>
        <v>B. Rabello</v>
      </c>
      <c s="30" r="I929">
        <v>72</v>
      </c>
      <c t="s" s="30" r="J929">
        <v>162</v>
      </c>
      <c t="s" s="30" r="K929">
        <v>207</v>
      </c>
      <c t="s" s="30" r="L929">
        <v>228</v>
      </c>
      <c s="30" r="M929">
        <v>18</v>
      </c>
      <c s="26" r="N929">
        <v>3.5</v>
      </c>
      <c s="23" r="O929">
        <v>0.007</v>
      </c>
      <c s="7" r="P929"/>
      <c s="7" r="Q929"/>
      <c s="7" r="R929">
        <f>IF((P929&gt;0),O929,0)</f>
        <v>0</v>
      </c>
      <c t="str" r="S929">
        <f>CONCATENATE(F929,E929)</f>
        <v>NON FTLNON FTL</v>
      </c>
    </row>
    <row r="930">
      <c t="s" s="7" r="A930">
        <v>201</v>
      </c>
      <c s="7" r="B930">
        <v>957</v>
      </c>
      <c s="30" r="C930">
        <v>29</v>
      </c>
      <c t="s" s="30" r="D930">
        <v>136</v>
      </c>
      <c t="s" s="30" r="E930">
        <v>4</v>
      </c>
      <c t="s" s="30" r="F930">
        <v>4</v>
      </c>
      <c t="s" s="30" r="G930">
        <v>227</v>
      </c>
      <c t="str" s="12" r="H930">
        <f>HYPERLINK("http://sofifa.com/en/fifa13winter/player/149184-julian-cuesta-diaz","Julián")</f>
        <v>Julián</v>
      </c>
      <c s="30" r="I930">
        <v>62</v>
      </c>
      <c t="s" s="30" r="J930">
        <v>106</v>
      </c>
      <c t="s" s="30" r="K930">
        <v>176</v>
      </c>
      <c t="s" s="30" r="L930">
        <v>185</v>
      </c>
      <c s="30" r="M930">
        <v>21</v>
      </c>
      <c s="26" r="N930">
        <v>0.6</v>
      </c>
      <c s="23" r="O930">
        <v>0.003</v>
      </c>
      <c s="7" r="P930"/>
      <c s="7" r="Q930"/>
      <c s="7" r="R930">
        <f>IF((P930&gt;0),O930,0)</f>
        <v>0</v>
      </c>
      <c t="str" r="S930">
        <f>CONCATENATE(F930,E930)</f>
        <v>NON FTLNON FTL</v>
      </c>
    </row>
    <row r="931">
      <c t="s" s="7" r="A931">
        <v>201</v>
      </c>
      <c s="7" r="B931">
        <v>958</v>
      </c>
      <c s="30" r="C931">
        <v>1</v>
      </c>
      <c t="s" s="30" r="D931">
        <v>136</v>
      </c>
      <c t="s" s="30" r="E931">
        <v>4</v>
      </c>
      <c t="s" s="30" r="F931">
        <v>4</v>
      </c>
      <c t="s" s="30" r="G931">
        <v>227</v>
      </c>
      <c t="str" s="12" r="H931">
        <f>HYPERLINK("http://sofifa.com/en/fifa13winter/player/142818-andres-palop-cervera","Palop")</f>
        <v>Palop</v>
      </c>
      <c s="30" r="I931">
        <v>72</v>
      </c>
      <c t="s" s="30" r="J931">
        <v>106</v>
      </c>
      <c t="s" s="30" r="K931">
        <v>167</v>
      </c>
      <c t="s" s="30" r="L931">
        <v>151</v>
      </c>
      <c s="30" r="M931">
        <v>38</v>
      </c>
      <c s="26" r="N931">
        <v>1</v>
      </c>
      <c s="23" r="O931">
        <v>0.011</v>
      </c>
      <c s="7" r="P931"/>
      <c s="7" r="Q931"/>
      <c s="7" r="R931">
        <f>IF((P931&gt;0),O931,0)</f>
        <v>0</v>
      </c>
      <c t="str" r="S931">
        <f>CONCATENATE(F931,E931)</f>
        <v>NON FTLNON FTL</v>
      </c>
    </row>
    <row r="932">
      <c t="s" s="7" r="A932">
        <v>201</v>
      </c>
      <c s="7" r="B932">
        <v>959</v>
      </c>
      <c s="30" r="C932">
        <v>20</v>
      </c>
      <c t="s" s="30" r="D932">
        <v>136</v>
      </c>
      <c t="s" s="30" r="E932">
        <v>4</v>
      </c>
      <c t="s" s="30" r="F932">
        <v>4</v>
      </c>
      <c t="s" s="30" r="G932">
        <v>227</v>
      </c>
      <c t="str" s="12" r="H932">
        <f>HYPERLINK("http://sofifa.com/en/fifa13winter/player/148006-papa-babacar-diawara","P. Diawara")</f>
        <v>P. Diawara</v>
      </c>
      <c s="30" r="I932">
        <v>71</v>
      </c>
      <c t="s" s="30" r="J932">
        <v>129</v>
      </c>
      <c t="s" s="30" r="K932">
        <v>132</v>
      </c>
      <c t="s" s="30" r="L932">
        <v>153</v>
      </c>
      <c s="30" r="M932">
        <v>24</v>
      </c>
      <c s="26" r="N932">
        <v>2.7</v>
      </c>
      <c s="23" r="O932">
        <v>0.008</v>
      </c>
      <c s="7" r="P932"/>
      <c s="7" r="Q932"/>
      <c s="7" r="R932">
        <f>IF((P932&gt;0),O932,0)</f>
        <v>0</v>
      </c>
      <c t="str" r="S932">
        <f>CONCATENATE(F932,E932)</f>
        <v>NON FTLNON FTL</v>
      </c>
    </row>
    <row r="933">
      <c t="s" s="7" r="A933">
        <v>201</v>
      </c>
      <c s="7" r="B933">
        <v>960</v>
      </c>
      <c s="30" r="C933">
        <v>15</v>
      </c>
      <c t="s" s="30" r="D933">
        <v>136</v>
      </c>
      <c t="s" s="30" r="E933">
        <v>4</v>
      </c>
      <c t="s" s="30" r="F933">
        <v>4</v>
      </c>
      <c t="s" s="30" r="G933">
        <v>227</v>
      </c>
      <c t="str" s="12" r="H933">
        <f>HYPERLINK("http://sofifa.com/en/fifa13winter/player/146622-piotr-trochowski","P. Trochowski")</f>
        <v>P. Trochowski</v>
      </c>
      <c s="30" r="I933">
        <v>75</v>
      </c>
      <c t="s" s="30" r="J933">
        <v>162</v>
      </c>
      <c t="s" s="30" r="K933">
        <v>205</v>
      </c>
      <c t="s" s="30" r="L933">
        <v>122</v>
      </c>
      <c s="30" r="M933">
        <v>28</v>
      </c>
      <c s="26" r="N933">
        <v>4.5</v>
      </c>
      <c s="23" r="O933">
        <v>0.013</v>
      </c>
      <c s="7" r="P933"/>
      <c s="7" r="Q933"/>
      <c s="7" r="R933">
        <f>IF((P933&gt;0),O933,0)</f>
        <v>0</v>
      </c>
      <c t="str" r="S933">
        <f>CONCATENATE(F933,E933)</f>
        <v>NON FTLNON FTL</v>
      </c>
    </row>
    <row r="934">
      <c t="s" s="7" r="A934">
        <v>201</v>
      </c>
      <c s="7" r="B934">
        <v>961</v>
      </c>
      <c s="30" r="C934">
        <v>14</v>
      </c>
      <c t="s" s="30" r="D934">
        <v>136</v>
      </c>
      <c t="s" s="30" r="E934">
        <v>4</v>
      </c>
      <c t="s" s="30" r="F934">
        <v>4</v>
      </c>
      <c t="s" s="30" r="G934">
        <v>227</v>
      </c>
      <c t="str" s="12" r="H934">
        <f>HYPERLINK("http://sofifa.com/en/fifa13winter/player/146596-manuel-del-moral-fernandez","Manu Del Moral")</f>
        <v>Manu Del Moral</v>
      </c>
      <c s="30" r="I934">
        <v>75</v>
      </c>
      <c t="s" s="30" r="J934">
        <v>171</v>
      </c>
      <c t="s" s="30" r="K934">
        <v>132</v>
      </c>
      <c t="s" s="30" r="L934">
        <v>138</v>
      </c>
      <c s="30" r="M934">
        <v>28</v>
      </c>
      <c s="26" r="N934">
        <v>4.7</v>
      </c>
      <c s="23" r="O934">
        <v>0.013</v>
      </c>
      <c s="7" r="P934"/>
      <c s="7" r="Q934"/>
      <c s="7" r="R934">
        <f>IF((P934&gt;0),O934,0)</f>
        <v>0</v>
      </c>
      <c t="str" r="S934">
        <f>CONCATENATE(F934,E934)</f>
        <v>NON FTLNON FTL</v>
      </c>
    </row>
    <row r="935">
      <c t="s" s="7" r="A935">
        <v>201</v>
      </c>
      <c s="7" r="B935">
        <v>962</v>
      </c>
      <c s="30" r="C935">
        <v>12</v>
      </c>
      <c t="s" s="30" r="D935">
        <v>136</v>
      </c>
      <c t="s" s="30" r="E935">
        <v>4</v>
      </c>
      <c t="s" s="30" r="F935">
        <v>4</v>
      </c>
      <c t="s" s="30" r="G935">
        <v>227</v>
      </c>
      <c t="str" s="12" r="H935">
        <f>HYPERLINK("http://sofifa.com/en/fifa13winter/player/146950-hedwiges-maduro","H. Maduro")</f>
        <v>H. Maduro</v>
      </c>
      <c s="30" r="I935">
        <v>74</v>
      </c>
      <c t="s" s="30" r="J935">
        <v>154</v>
      </c>
      <c t="s" s="30" r="K935">
        <v>167</v>
      </c>
      <c t="s" s="30" r="L935">
        <v>158</v>
      </c>
      <c s="30" r="M935">
        <v>27</v>
      </c>
      <c s="26" r="N935">
        <v>3.3</v>
      </c>
      <c s="23" r="O935">
        <v>0.011</v>
      </c>
      <c s="7" r="P935"/>
      <c s="7" r="Q935"/>
      <c s="7" r="R935">
        <f>IF((P935&gt;0),O935,0)</f>
        <v>0</v>
      </c>
      <c t="str" r="S935">
        <f>CONCATENATE(F935,E935)</f>
        <v>NON FTLNON FTL</v>
      </c>
    </row>
    <row r="936">
      <c t="s" s="7" r="A936">
        <v>201</v>
      </c>
      <c s="7" r="B936">
        <v>963</v>
      </c>
      <c s="30" r="C936">
        <v>2</v>
      </c>
      <c t="s" s="30" r="D936">
        <v>136</v>
      </c>
      <c t="s" s="30" r="E936">
        <v>4</v>
      </c>
      <c t="s" s="30" r="F936">
        <v>4</v>
      </c>
      <c t="s" s="30" r="G936">
        <v>227</v>
      </c>
      <c t="str" s="12" r="H936">
        <f>HYPERLINK("http://sofifa.com/en/fifa13winter/player/147712-federico-fazio","F. Fazio")</f>
        <v>F. Fazio</v>
      </c>
      <c s="30" r="I936">
        <v>77</v>
      </c>
      <c t="s" s="30" r="J936">
        <v>113</v>
      </c>
      <c t="s" s="30" r="K936">
        <v>176</v>
      </c>
      <c t="s" s="30" r="L936">
        <v>179</v>
      </c>
      <c s="30" r="M936">
        <v>25</v>
      </c>
      <c s="26" r="N936">
        <v>6.6</v>
      </c>
      <c s="23" r="O936">
        <v>0.017</v>
      </c>
      <c s="7" r="P936"/>
      <c s="7" r="Q936"/>
      <c s="7" r="R936">
        <f>IF((P936&gt;0),O936,0)</f>
        <v>0</v>
      </c>
      <c t="str" r="S936">
        <f>CONCATENATE(F936,E936)</f>
        <v>NON FTLNON FTL</v>
      </c>
    </row>
    <row r="937">
      <c t="s" s="7" r="A937">
        <v>201</v>
      </c>
      <c s="7" r="B937">
        <v>964</v>
      </c>
      <c s="30" r="C937">
        <v>24</v>
      </c>
      <c t="s" s="30" r="D937">
        <v>136</v>
      </c>
      <c t="s" s="30" r="E937">
        <v>4</v>
      </c>
      <c t="s" s="30" r="F937">
        <v>4</v>
      </c>
      <c t="s" s="30" r="G937">
        <v>227</v>
      </c>
      <c t="str" s="12" r="H937">
        <f>HYPERLINK("http://sofifa.com/en/fifa13winter/player/148394-alberto-tomas-botia-rabasco","Botía")</f>
        <v>Botía</v>
      </c>
      <c s="30" r="I937">
        <v>74</v>
      </c>
      <c t="s" s="30" r="J937">
        <v>113</v>
      </c>
      <c t="s" s="30" r="K937">
        <v>155</v>
      </c>
      <c t="s" s="30" r="L937">
        <v>153</v>
      </c>
      <c s="30" r="M937">
        <v>23</v>
      </c>
      <c s="26" r="N937">
        <v>3.5</v>
      </c>
      <c s="23" r="O937">
        <v>0.01</v>
      </c>
      <c s="7" r="P937"/>
      <c s="7" r="Q937"/>
      <c s="7" r="R937">
        <f>IF((P937&gt;0),O937,0)</f>
        <v>0</v>
      </c>
      <c t="str" r="S937">
        <f>CONCATENATE(F937,E937)</f>
        <v>NON FTLNON FTL</v>
      </c>
    </row>
    <row r="938">
      <c t="s" s="7" r="A938">
        <v>201</v>
      </c>
      <c s="7" r="B938">
        <v>965</v>
      </c>
      <c s="30" r="C938">
        <v>21</v>
      </c>
      <c t="s" s="30" r="D938">
        <v>136</v>
      </c>
      <c t="s" s="30" r="E938">
        <v>4</v>
      </c>
      <c t="s" s="30" r="F938">
        <v>4</v>
      </c>
      <c t="s" s="30" r="G938">
        <v>227</v>
      </c>
      <c t="str" s="12" r="H938">
        <f>HYPERLINK("http://sofifa.com/en/fifa13winter/player/147487-alex-sandro-mendonca-dos-santos","Cicinho")</f>
        <v>Cicinho</v>
      </c>
      <c s="30" r="I938">
        <v>73</v>
      </c>
      <c t="s" s="30" r="J938">
        <v>109</v>
      </c>
      <c t="s" s="30" r="K938">
        <v>130</v>
      </c>
      <c t="s" s="30" r="L938">
        <v>168</v>
      </c>
      <c s="30" r="M938">
        <v>26</v>
      </c>
      <c s="26" r="N938">
        <v>2.9</v>
      </c>
      <c s="23" r="O938">
        <v>0.01</v>
      </c>
      <c s="7" r="P938"/>
      <c s="7" r="Q938"/>
      <c s="7" r="R938">
        <f>IF((P938&gt;0),O938,0)</f>
        <v>0</v>
      </c>
      <c t="str" r="S938">
        <f>CONCATENATE(F938,E938)</f>
        <v>NON FTLNON FTL</v>
      </c>
    </row>
    <row r="939">
      <c t="s" s="7" r="A939">
        <v>201</v>
      </c>
      <c s="7" r="B939">
        <v>966</v>
      </c>
      <c s="30" r="C939">
        <v>39</v>
      </c>
      <c t="s" s="30" r="D939">
        <v>147</v>
      </c>
      <c t="s" s="30" r="E939">
        <v>4</v>
      </c>
      <c t="s" s="30" r="F939">
        <v>4</v>
      </c>
      <c t="s" s="30" r="G939">
        <v>227</v>
      </c>
      <c t="str" s="12" r="H939">
        <f>HYPERLINK("http://sofifa.com/en/fifa13winter/player/150229-alban-bunjaku","A. Bunjaku")</f>
        <v>A. Bunjaku</v>
      </c>
      <c s="30" r="I939">
        <v>61</v>
      </c>
      <c t="s" s="30" r="J939">
        <v>162</v>
      </c>
      <c t="s" s="30" r="K939">
        <v>110</v>
      </c>
      <c t="s" s="30" r="L939">
        <v>156</v>
      </c>
      <c s="30" r="M939">
        <v>18</v>
      </c>
      <c s="26" r="N939">
        <v>0.8</v>
      </c>
      <c s="23" r="O939">
        <v>0.003</v>
      </c>
      <c s="7" r="P939"/>
      <c s="7" r="Q939"/>
      <c s="7" r="R939">
        <f>IF((P939&gt;0),O939,0)</f>
        <v>0</v>
      </c>
      <c t="str" r="S939">
        <f>CONCATENATE(F939,E939)</f>
        <v>NON FTLNON FTL</v>
      </c>
    </row>
    <row r="940">
      <c t="s" s="7" r="A940">
        <v>201</v>
      </c>
      <c s="7" r="B940">
        <v>967</v>
      </c>
      <c s="30" r="C940">
        <v>17</v>
      </c>
      <c t="s" s="30" r="D940">
        <v>147</v>
      </c>
      <c t="s" s="30" r="E940">
        <v>4</v>
      </c>
      <c t="s" s="30" r="F940">
        <v>4</v>
      </c>
      <c t="s" s="30" r="G940">
        <v>227</v>
      </c>
      <c t="str" s="12" r="H940">
        <f>HYPERLINK("http://sofifa.com/en/fifa13winter/player/148527-javier-hervas-salmoral","Javi Hervás")</f>
        <v>Javi Hervás</v>
      </c>
      <c s="30" r="I940">
        <v>72</v>
      </c>
      <c t="s" s="30" r="J940">
        <v>124</v>
      </c>
      <c t="s" s="30" r="K940">
        <v>172</v>
      </c>
      <c t="s" s="30" r="L940">
        <v>111</v>
      </c>
      <c s="30" r="M940">
        <v>23</v>
      </c>
      <c s="26" r="N940">
        <v>2.7</v>
      </c>
      <c s="23" r="O940">
        <v>0.008</v>
      </c>
      <c s="7" r="P940"/>
      <c s="7" r="Q940"/>
      <c s="7" r="R940">
        <f>IF((P940&gt;0),O940,0)</f>
        <v>0</v>
      </c>
      <c t="str" r="S940">
        <f>CONCATENATE(F940,E940)</f>
        <v>NON FTLNON FTL</v>
      </c>
    </row>
    <row r="941">
      <c t="s" s="7" r="A941">
        <v>201</v>
      </c>
      <c s="7" r="B941">
        <v>968</v>
      </c>
      <c s="30" r="C941">
        <v>37</v>
      </c>
      <c t="s" s="30" r="D941">
        <v>147</v>
      </c>
      <c t="s" s="30" r="E941">
        <v>4</v>
      </c>
      <c t="s" s="30" r="F941">
        <v>4</v>
      </c>
      <c t="s" s="30" r="G941">
        <v>227</v>
      </c>
      <c t="str" s="12" r="H941">
        <f>HYPERLINK("http://sofifa.com/en/fifa13winter/player/150072-sergio-rico-gonzalez","Sergio")</f>
        <v>Sergio</v>
      </c>
      <c s="30" r="I941">
        <v>58</v>
      </c>
      <c t="s" s="30" r="J941">
        <v>106</v>
      </c>
      <c t="s" s="30" r="K941">
        <v>188</v>
      </c>
      <c t="s" s="30" r="L941">
        <v>175</v>
      </c>
      <c s="30" r="M941">
        <v>18</v>
      </c>
      <c s="26" r="N941">
        <v>0.3</v>
      </c>
      <c s="23" r="O941">
        <v>0.002</v>
      </c>
      <c s="7" r="P941"/>
      <c s="7" r="Q941"/>
      <c s="7" r="R941">
        <f>IF((P941&gt;0),O941,0)</f>
        <v>0</v>
      </c>
      <c t="str" r="S941">
        <f>CONCATENATE(F941,E941)</f>
        <v>NON FTLNON FTL</v>
      </c>
    </row>
    <row r="942">
      <c t="s" s="7" r="A942">
        <v>201</v>
      </c>
      <c s="7" r="B942">
        <v>969</v>
      </c>
      <c s="30" r="C942">
        <v>26</v>
      </c>
      <c t="s" s="30" r="D942">
        <v>147</v>
      </c>
      <c t="s" s="30" r="E942">
        <v>4</v>
      </c>
      <c t="s" s="30" r="F942">
        <v>4</v>
      </c>
      <c t="s" s="30" r="G942">
        <v>227</v>
      </c>
      <c t="str" s="12" r="H942">
        <f>HYPERLINK("http://sofifa.com/en/fifa13winter/player/148750-fco-javier-atienza-valverde","Atienza")</f>
        <v>Atienza</v>
      </c>
      <c s="30" r="I942">
        <v>61</v>
      </c>
      <c t="s" s="30" r="J942">
        <v>113</v>
      </c>
      <c t="s" s="30" r="K942">
        <v>152</v>
      </c>
      <c t="s" s="30" r="L942">
        <v>179</v>
      </c>
      <c s="30" r="M942">
        <v>22</v>
      </c>
      <c s="26" r="N942">
        <v>0.6</v>
      </c>
      <c s="23" r="O942">
        <v>0.003</v>
      </c>
      <c s="7" r="P942"/>
      <c s="7" r="Q942"/>
      <c s="7" r="R942">
        <f>IF((P942&gt;0),O942,0)</f>
        <v>0</v>
      </c>
      <c t="str" r="S942">
        <f>CONCATENATE(F942,E942)</f>
        <v>NON FTLNON FTL</v>
      </c>
    </row>
    <row r="943">
      <c t="s" s="7" r="A943">
        <v>201</v>
      </c>
      <c s="7" r="B943">
        <v>970</v>
      </c>
      <c s="30" r="C943">
        <v>28</v>
      </c>
      <c t="s" s="30" r="D943">
        <v>147</v>
      </c>
      <c t="s" s="30" r="E943">
        <v>4</v>
      </c>
      <c t="s" s="30" r="F943">
        <v>4</v>
      </c>
      <c t="s" s="30" r="G943">
        <v>227</v>
      </c>
      <c t="str" s="12" r="H943">
        <f>HYPERLINK("http://sofifa.com/en/fifa13winter/player/150032-alejandro-rubio-brito","Alex Rubio")</f>
        <v>Alex Rubio</v>
      </c>
      <c s="30" r="I943">
        <v>58</v>
      </c>
      <c t="s" s="30" r="J943">
        <v>129</v>
      </c>
      <c t="s" s="30" r="K943">
        <v>143</v>
      </c>
      <c t="s" s="30" r="L943">
        <v>138</v>
      </c>
      <c s="30" r="M943">
        <v>19</v>
      </c>
      <c s="26" r="N943">
        <v>0.4</v>
      </c>
      <c s="23" r="O943">
        <v>0.002</v>
      </c>
      <c s="7" r="P943"/>
      <c s="7" r="Q943"/>
      <c s="7" r="R943">
        <f>IF((P943&gt;0),O943,0)</f>
        <v>0</v>
      </c>
      <c t="str" r="S943">
        <f>CONCATENATE(F943,E943)</f>
        <v>NON FTLNON FTL</v>
      </c>
    </row>
    <row r="944">
      <c t="s" s="7" r="A944">
        <v>201</v>
      </c>
      <c s="7" r="B944">
        <v>971</v>
      </c>
      <c s="30" r="C944">
        <v>31</v>
      </c>
      <c t="s" s="30" r="D944">
        <v>147</v>
      </c>
      <c t="s" s="30" r="E944">
        <v>4</v>
      </c>
      <c t="s" s="30" r="F944">
        <v>4</v>
      </c>
      <c t="s" s="30" r="G944">
        <v>227</v>
      </c>
      <c t="str" s="12" r="H944">
        <f>HYPERLINK("http://sofifa.com/en/fifa13winter/player/149843-joaquin-garcia-ruiz","Joaquín")</f>
        <v>Joaquín</v>
      </c>
      <c s="30" r="I944">
        <v>58</v>
      </c>
      <c t="s" s="30" r="J944">
        <v>124</v>
      </c>
      <c t="s" s="30" r="K944">
        <v>159</v>
      </c>
      <c t="s" s="30" r="L944">
        <v>125</v>
      </c>
      <c s="30" r="M944">
        <v>19</v>
      </c>
      <c s="26" r="N944">
        <v>0.3</v>
      </c>
      <c s="23" r="O944">
        <v>0.002</v>
      </c>
      <c s="7" r="P944"/>
      <c s="7" r="Q944"/>
      <c s="7" r="R944">
        <f>IF((P944&gt;0),O944,0)</f>
        <v>0</v>
      </c>
      <c t="str" r="S944">
        <f>CONCATENATE(F944,E944)</f>
        <v>NON FTLNON FTL</v>
      </c>
    </row>
    <row r="945">
      <c t="s" s="7" r="A945">
        <v>201</v>
      </c>
      <c s="7" r="B945">
        <v>972</v>
      </c>
      <c s="30" r="C945">
        <v>34</v>
      </c>
      <c t="s" s="30" r="D945">
        <v>147</v>
      </c>
      <c t="s" s="30" r="E945">
        <v>4</v>
      </c>
      <c t="s" s="30" r="F945">
        <v>4</v>
      </c>
      <c t="s" s="30" r="G945">
        <v>227</v>
      </c>
      <c t="str" s="12" r="H945">
        <f>HYPERLINK("http://sofifa.com/en/fifa13winter/player/149994-israel-puerto-pineda","Israel Puerto")</f>
        <v>Israel Puerto</v>
      </c>
      <c s="30" r="I945">
        <v>63</v>
      </c>
      <c t="s" s="30" r="J945">
        <v>113</v>
      </c>
      <c t="s" s="30" r="K945">
        <v>134</v>
      </c>
      <c t="s" s="30" r="L945">
        <v>138</v>
      </c>
      <c s="30" r="M945">
        <v>19</v>
      </c>
      <c s="26" r="N945">
        <v>0.9</v>
      </c>
      <c s="23" r="O945">
        <v>0.003</v>
      </c>
      <c s="7" r="P945"/>
      <c s="7" r="Q945"/>
      <c s="7" r="R945">
        <f>IF((P945&gt;0),O945,0)</f>
        <v>0</v>
      </c>
      <c t="str" r="S945">
        <f>CONCATENATE(F945,E945)</f>
        <v>NON FTLNON FTL</v>
      </c>
    </row>
    <row r="946">
      <c t="s" s="7" r="A946">
        <v>201</v>
      </c>
      <c s="7" r="B946">
        <v>973</v>
      </c>
      <c s="30" r="C946">
        <v>1</v>
      </c>
      <c t="s" s="30" r="D946">
        <v>106</v>
      </c>
      <c t="s" s="30" r="E946">
        <v>4</v>
      </c>
      <c t="s" s="30" r="F946">
        <v>4</v>
      </c>
      <c t="s" s="30" r="G946">
        <v>229</v>
      </c>
      <c t="str" s="12" r="H946">
        <f>HYPERLINK("http://sofifa.com/en/fifa13winter/player/146075-maarten-stekelenburg","M. Stekelenburg")</f>
        <v>M. Stekelenburg</v>
      </c>
      <c s="30" r="I946">
        <v>79</v>
      </c>
      <c t="s" s="30" r="J946">
        <v>106</v>
      </c>
      <c t="s" s="30" r="K946">
        <v>215</v>
      </c>
      <c t="s" s="30" r="L946">
        <v>135</v>
      </c>
      <c s="30" r="M946">
        <v>29</v>
      </c>
      <c s="26" r="N946">
        <v>5.4</v>
      </c>
      <c s="23" r="O946">
        <v>0.024</v>
      </c>
      <c s="7" r="P946"/>
      <c s="7" r="Q946"/>
      <c s="7" r="R946">
        <f>IF((P946&gt;0),O946,0)</f>
        <v>0</v>
      </c>
      <c t="str" r="S946">
        <f>CONCATENATE(F946,E946)</f>
        <v>NON FTLNON FTL</v>
      </c>
    </row>
    <row r="947">
      <c t="s" s="7" r="A947">
        <v>201</v>
      </c>
      <c s="7" r="B947">
        <v>974</v>
      </c>
      <c s="30" r="C947">
        <v>27</v>
      </c>
      <c t="s" s="30" r="D947">
        <v>109</v>
      </c>
      <c t="s" s="30" r="E947">
        <v>4</v>
      </c>
      <c t="s" s="30" r="F947">
        <v>4</v>
      </c>
      <c t="s" s="30" r="G947">
        <v>229</v>
      </c>
      <c t="str" s="12" r="H947">
        <f>HYPERLINK("http://sofifa.com/en/fifa13winter/player/146257-sascha-riether","S. Riether")</f>
        <v>S. Riether</v>
      </c>
      <c s="30" r="I947">
        <v>76</v>
      </c>
      <c t="s" s="30" r="J947">
        <v>109</v>
      </c>
      <c t="s" s="30" r="K947">
        <v>182</v>
      </c>
      <c t="s" s="30" r="L947">
        <v>142</v>
      </c>
      <c s="30" r="M947">
        <v>29</v>
      </c>
      <c s="26" r="N947">
        <v>4.1</v>
      </c>
      <c s="23" r="O947">
        <v>0.016</v>
      </c>
      <c s="7" r="P947"/>
      <c s="7" r="Q947"/>
      <c s="7" r="R947">
        <f>IF((P947&gt;0),O947,0)</f>
        <v>0</v>
      </c>
      <c t="str" r="S947">
        <f>CONCATENATE(F947,E947)</f>
        <v>NON FTLNON FTL</v>
      </c>
    </row>
    <row r="948">
      <c t="s" s="7" r="A948">
        <v>201</v>
      </c>
      <c s="7" r="B948">
        <v>975</v>
      </c>
      <c s="30" r="C948">
        <v>4</v>
      </c>
      <c t="s" s="30" r="D948">
        <v>112</v>
      </c>
      <c t="s" s="30" r="E948">
        <v>4</v>
      </c>
      <c t="s" s="30" r="F948">
        <v>4</v>
      </c>
      <c t="s" s="30" r="G948">
        <v>229</v>
      </c>
      <c t="str" s="12" r="H948">
        <f>HYPERLINK("http://sofifa.com/en/fifa13winter/player/146951-philippe-senderos","P. Senderos")</f>
        <v>P. Senderos</v>
      </c>
      <c s="30" r="I948">
        <v>73</v>
      </c>
      <c t="s" s="30" r="J948">
        <v>113</v>
      </c>
      <c t="s" s="30" r="K948">
        <v>134</v>
      </c>
      <c t="s" s="30" r="L948">
        <v>193</v>
      </c>
      <c s="30" r="M948">
        <v>27</v>
      </c>
      <c s="26" r="N948">
        <v>2.9</v>
      </c>
      <c s="23" r="O948">
        <v>0.01</v>
      </c>
      <c s="7" r="P948"/>
      <c s="7" r="Q948"/>
      <c s="7" r="R948">
        <f>IF((P948&gt;0),O948,0)</f>
        <v>0</v>
      </c>
      <c t="str" r="S948">
        <f>CONCATENATE(F948,E948)</f>
        <v>NON FTLNON FTL</v>
      </c>
    </row>
    <row r="949">
      <c t="s" s="7" r="A949">
        <v>201</v>
      </c>
      <c s="7" r="B949">
        <v>976</v>
      </c>
      <c s="30" r="C949">
        <v>5</v>
      </c>
      <c t="s" s="30" r="D949">
        <v>116</v>
      </c>
      <c t="s" s="30" r="E949">
        <v>4</v>
      </c>
      <c t="s" s="30" r="F949">
        <v>4</v>
      </c>
      <c t="s" s="30" r="G949">
        <v>229</v>
      </c>
      <c t="str" s="12" r="H949">
        <f>HYPERLINK("http://sofifa.com/en/fifa13winter/player/145616-brede-hangeland","B. Hangeland")</f>
        <v>B. Hangeland</v>
      </c>
      <c s="30" r="I949">
        <v>81</v>
      </c>
      <c t="s" s="30" r="J949">
        <v>113</v>
      </c>
      <c t="s" s="30" r="K949">
        <v>196</v>
      </c>
      <c t="s" s="30" r="L949">
        <v>135</v>
      </c>
      <c s="30" r="M949">
        <v>31</v>
      </c>
      <c s="26" r="N949">
        <v>11.3</v>
      </c>
      <c s="23" r="O949">
        <v>0.046</v>
      </c>
      <c s="7" r="P949"/>
      <c s="7" r="Q949"/>
      <c s="7" r="R949">
        <f>IF((P949&gt;0),O949,0)</f>
        <v>0</v>
      </c>
      <c t="str" r="S949">
        <f>CONCATENATE(F949,E949)</f>
        <v>NON FTLNON FTL</v>
      </c>
    </row>
    <row r="950">
      <c t="s" s="7" r="A950">
        <v>201</v>
      </c>
      <c s="7" r="B950">
        <v>977</v>
      </c>
      <c s="30" r="C950">
        <v>3</v>
      </c>
      <c t="s" s="30" r="D950">
        <v>117</v>
      </c>
      <c t="s" s="30" r="E950">
        <v>4</v>
      </c>
      <c t="s" s="30" r="F950">
        <v>4</v>
      </c>
      <c t="s" s="30" r="G950">
        <v>229</v>
      </c>
      <c t="str" s="12" r="H950">
        <f>HYPERLINK("http://sofifa.com/en/fifa13winter/player/145347-john-arne-riise","J. Riise")</f>
        <v>J. Riise</v>
      </c>
      <c s="30" r="I950">
        <v>75</v>
      </c>
      <c t="s" s="30" r="J950">
        <v>117</v>
      </c>
      <c t="s" s="30" r="K950">
        <v>134</v>
      </c>
      <c t="s" s="30" r="L950">
        <v>193</v>
      </c>
      <c s="30" r="M950">
        <v>31</v>
      </c>
      <c s="26" r="N950">
        <v>3.1</v>
      </c>
      <c s="23" r="O950">
        <v>0.015</v>
      </c>
      <c s="7" r="P950"/>
      <c s="7" r="Q950"/>
      <c s="7" r="R950">
        <f>IF((P950&gt;0),O950,0)</f>
        <v>0</v>
      </c>
      <c t="str" r="S950">
        <f>CONCATENATE(F950,E950)</f>
        <v>NON FTLNON FTL</v>
      </c>
    </row>
    <row r="951">
      <c t="s" s="7" r="A951">
        <v>201</v>
      </c>
      <c s="7" r="B951">
        <v>978</v>
      </c>
      <c s="30" r="C951">
        <v>7</v>
      </c>
      <c t="s" s="30" r="D951">
        <v>186</v>
      </c>
      <c t="s" s="30" r="E951">
        <v>4</v>
      </c>
      <c t="s" s="30" r="F951">
        <v>4</v>
      </c>
      <c t="s" s="30" r="G951">
        <v>229</v>
      </c>
      <c t="str" s="12" r="H951">
        <f>HYPERLINK("http://sofifa.com/en/fifa13winter/player/146158-steve-sidwell","S. Sidwell")</f>
        <v>S. Sidwell</v>
      </c>
      <c s="30" r="I951">
        <v>75</v>
      </c>
      <c t="s" s="30" r="J951">
        <v>124</v>
      </c>
      <c t="s" s="30" r="K951">
        <v>110</v>
      </c>
      <c t="s" s="30" r="L951">
        <v>153</v>
      </c>
      <c s="30" r="M951">
        <v>29</v>
      </c>
      <c s="26" r="N951">
        <v>3.7</v>
      </c>
      <c s="23" r="O951">
        <v>0.014</v>
      </c>
      <c s="7" r="P951"/>
      <c s="7" r="Q951"/>
      <c s="7" r="R951">
        <f>IF((P951&gt;0),O951,0)</f>
        <v>0</v>
      </c>
      <c t="str" r="S951">
        <f>CONCATENATE(F951,E951)</f>
        <v>NON FTLNON FTL</v>
      </c>
    </row>
    <row r="952">
      <c t="s" s="7" r="A952">
        <v>201</v>
      </c>
      <c s="7" r="B952">
        <v>979</v>
      </c>
      <c s="30" r="C952">
        <v>33</v>
      </c>
      <c t="s" s="30" r="D952">
        <v>174</v>
      </c>
      <c t="s" s="30" r="E952">
        <v>4</v>
      </c>
      <c t="s" s="30" r="F952">
        <v>4</v>
      </c>
      <c t="s" s="30" r="G952">
        <v>229</v>
      </c>
      <c t="str" s="12" r="H952">
        <f>HYPERLINK("http://sofifa.com/en/fifa13winter/player/147353-eyong-enoh","E. Enoh")</f>
        <v>E. Enoh</v>
      </c>
      <c s="30" r="I952">
        <v>71</v>
      </c>
      <c t="s" s="30" r="J952">
        <v>154</v>
      </c>
      <c t="s" s="30" r="K952">
        <v>187</v>
      </c>
      <c t="s" s="30" r="L952">
        <v>153</v>
      </c>
      <c s="30" r="M952">
        <v>26</v>
      </c>
      <c s="26" r="N952">
        <v>2</v>
      </c>
      <c s="23" r="O952">
        <v>0.008</v>
      </c>
      <c s="7" r="P952"/>
      <c s="7" r="Q952"/>
      <c s="7" r="R952">
        <f>IF((P952&gt;0),O952,0)</f>
        <v>0</v>
      </c>
      <c t="str" r="S952">
        <f>CONCATENATE(F952,E952)</f>
        <v>NON FTLNON FTL</v>
      </c>
    </row>
    <row r="953">
      <c t="s" s="7" r="A953">
        <v>201</v>
      </c>
      <c s="7" r="B953">
        <v>980</v>
      </c>
      <c s="30" r="C953">
        <v>16</v>
      </c>
      <c t="s" s="30" r="D953">
        <v>120</v>
      </c>
      <c t="s" s="30" r="E953">
        <v>4</v>
      </c>
      <c t="s" s="30" r="F953">
        <v>4</v>
      </c>
      <c t="s" s="30" r="G953">
        <v>229</v>
      </c>
      <c t="str" s="12" r="H953">
        <f>HYPERLINK("http://sofifa.com/en/fifa13winter/player/144775-damien-duff","D. Duff")</f>
        <v>D. Duff</v>
      </c>
      <c s="30" r="I953">
        <v>77</v>
      </c>
      <c t="s" s="30" r="J953">
        <v>120</v>
      </c>
      <c t="s" s="30" r="K953">
        <v>159</v>
      </c>
      <c t="s" s="30" r="L953">
        <v>151</v>
      </c>
      <c s="30" r="M953">
        <v>33</v>
      </c>
      <c s="26" r="N953">
        <v>4.1</v>
      </c>
      <c s="23" r="O953">
        <v>0.021</v>
      </c>
      <c s="7" r="P953"/>
      <c s="7" r="Q953"/>
      <c s="7" r="R953">
        <f>IF((P953&gt;0),O953,0)</f>
        <v>0</v>
      </c>
      <c t="str" r="S953">
        <f>CONCATENATE(F953,E953)</f>
        <v>NON FTLNON FTL</v>
      </c>
    </row>
    <row r="954">
      <c t="s" s="7" r="A954">
        <v>201</v>
      </c>
      <c s="7" r="B954">
        <v>981</v>
      </c>
      <c s="30" r="C954">
        <v>31</v>
      </c>
      <c t="s" s="30" r="D954">
        <v>128</v>
      </c>
      <c t="s" s="30" r="E954">
        <v>4</v>
      </c>
      <c t="s" s="30" r="F954">
        <v>4</v>
      </c>
      <c t="s" s="30" r="G954">
        <v>229</v>
      </c>
      <c t="str" s="12" r="H954">
        <f>HYPERLINK("http://sofifa.com/en/fifa13winter/player/149322-alexander-kacaniklic","A. Kacaniklic")</f>
        <v>A. Kacaniklic</v>
      </c>
      <c s="30" r="I954">
        <v>72</v>
      </c>
      <c t="s" s="30" r="J954">
        <v>128</v>
      </c>
      <c t="s" s="30" r="K954">
        <v>150</v>
      </c>
      <c t="s" s="30" r="L954">
        <v>146</v>
      </c>
      <c s="30" r="M954">
        <v>21</v>
      </c>
      <c s="26" r="N954">
        <v>3</v>
      </c>
      <c s="23" r="O954">
        <v>0.008</v>
      </c>
      <c s="7" r="P954"/>
      <c s="7" r="Q954"/>
      <c s="7" r="R954">
        <f>IF((P954&gt;0),O954,0)</f>
        <v>0</v>
      </c>
      <c t="str" r="S954">
        <f>CONCATENATE(F954,E954)</f>
        <v>NON FTLNON FTL</v>
      </c>
    </row>
    <row r="955">
      <c t="s" s="7" r="A955">
        <v>201</v>
      </c>
      <c s="7" r="B955">
        <v>982</v>
      </c>
      <c s="30" r="C955">
        <v>11</v>
      </c>
      <c t="s" s="30" r="D955">
        <v>162</v>
      </c>
      <c t="s" s="30" r="E955">
        <v>4</v>
      </c>
      <c t="s" s="30" r="F955">
        <v>4</v>
      </c>
      <c t="s" s="30" r="G955">
        <v>229</v>
      </c>
      <c t="str" s="12" r="H955">
        <f>HYPERLINK("http://sofifa.com/en/fifa13winter/player/147136-bryan-ruiz","B. Ruíz")</f>
        <v>B. Ruíz</v>
      </c>
      <c s="30" r="I955">
        <v>82</v>
      </c>
      <c t="s" s="30" r="J955">
        <v>162</v>
      </c>
      <c t="s" s="30" r="K955">
        <v>134</v>
      </c>
      <c t="s" s="30" r="L955">
        <v>161</v>
      </c>
      <c s="30" r="M955">
        <v>27</v>
      </c>
      <c s="26" r="N955">
        <v>16.2</v>
      </c>
      <c s="23" r="O955">
        <v>0.053</v>
      </c>
      <c s="7" r="P955"/>
      <c s="7" r="Q955"/>
      <c s="7" r="R955">
        <f>IF((P955&gt;0),O955,0)</f>
        <v>0</v>
      </c>
      <c t="str" r="S955">
        <f>CONCATENATE(F955,E955)</f>
        <v>NON FTLNON FTL</v>
      </c>
    </row>
    <row r="956">
      <c t="s" s="7" r="A956">
        <v>201</v>
      </c>
      <c s="7" r="B956">
        <v>983</v>
      </c>
      <c s="30" r="C956">
        <v>9</v>
      </c>
      <c t="s" s="30" r="D956">
        <v>129</v>
      </c>
      <c t="s" s="30" r="E956">
        <v>4</v>
      </c>
      <c t="s" s="30" r="F956">
        <v>4</v>
      </c>
      <c t="s" s="30" r="G956">
        <v>229</v>
      </c>
      <c t="str" s="12" r="H956">
        <f>HYPERLINK("http://sofifa.com/en/fifa13winter/player/145475-dimitar-berbatov","D. Berbatov")</f>
        <v>D. Berbatov</v>
      </c>
      <c s="30" r="I956">
        <v>82</v>
      </c>
      <c t="s" s="30" r="J956">
        <v>129</v>
      </c>
      <c t="s" s="30" r="K956">
        <v>169</v>
      </c>
      <c t="s" s="30" r="L956">
        <v>151</v>
      </c>
      <c s="30" r="M956">
        <v>31</v>
      </c>
      <c s="26" r="N956">
        <v>13.7</v>
      </c>
      <c s="23" r="O956">
        <v>0.062</v>
      </c>
      <c s="7" r="P956"/>
      <c s="7" r="Q956"/>
      <c s="7" r="R956">
        <f>IF((P956&gt;0),O956,0)</f>
        <v>0</v>
      </c>
      <c t="str" r="S956">
        <f>CONCATENATE(F956,E956)</f>
        <v>NON FTLNON FTL</v>
      </c>
    </row>
    <row r="957">
      <c t="s" s="7" r="A957">
        <v>201</v>
      </c>
      <c s="7" r="B957">
        <v>984</v>
      </c>
      <c s="30" r="C957">
        <v>39</v>
      </c>
      <c t="s" s="30" r="D957">
        <v>136</v>
      </c>
      <c t="s" s="30" r="E957">
        <v>4</v>
      </c>
      <c t="s" s="30" r="F957">
        <v>4</v>
      </c>
      <c t="s" s="30" r="G957">
        <v>229</v>
      </c>
      <c t="str" s="12" r="H957">
        <f>HYPERLINK("http://sofifa.com/en/fifa13winter/player/149735-marcello-trotta","M. Trotta")</f>
        <v>M. Trotta</v>
      </c>
      <c s="30" r="I957">
        <v>65</v>
      </c>
      <c t="s" s="30" r="J957">
        <v>129</v>
      </c>
      <c t="s" s="30" r="K957">
        <v>155</v>
      </c>
      <c t="s" s="30" r="L957">
        <v>193</v>
      </c>
      <c s="30" r="M957">
        <v>19</v>
      </c>
      <c s="26" r="N957">
        <v>1.3</v>
      </c>
      <c s="23" r="O957">
        <v>0.004</v>
      </c>
      <c s="7" r="P957"/>
      <c s="7" r="Q957"/>
      <c s="7" r="R957">
        <f>IF((P957&gt;0),O957,0)</f>
        <v>0</v>
      </c>
      <c t="str" r="S957">
        <f>CONCATENATE(F957,E957)</f>
        <v>NON FTLNON FTL</v>
      </c>
    </row>
    <row r="958">
      <c t="s" s="7" r="A958">
        <v>201</v>
      </c>
      <c s="7" r="B958">
        <v>985</v>
      </c>
      <c s="30" r="C958">
        <v>21</v>
      </c>
      <c t="s" s="30" r="D958">
        <v>136</v>
      </c>
      <c t="s" s="30" r="E958">
        <v>4</v>
      </c>
      <c t="s" s="30" r="F958">
        <v>4</v>
      </c>
      <c t="s" s="30" r="G958">
        <v>229</v>
      </c>
      <c t="str" s="12" r="H958">
        <f>HYPERLINK("http://sofifa.com/en/fifa13winter/player/150151-kerim-frei","K. Frei")</f>
        <v>K. Frei</v>
      </c>
      <c s="30" r="I958">
        <v>72</v>
      </c>
      <c t="s" s="30" r="J958">
        <v>170</v>
      </c>
      <c t="s" s="30" r="K958">
        <v>195</v>
      </c>
      <c t="s" s="30" r="L958">
        <v>125</v>
      </c>
      <c s="30" r="M958">
        <v>18</v>
      </c>
      <c s="26" r="N958">
        <v>3.3</v>
      </c>
      <c s="23" r="O958">
        <v>0.007</v>
      </c>
      <c s="7" r="P958"/>
      <c s="7" r="Q958"/>
      <c s="7" r="R958">
        <f>IF((P958&gt;0),O958,0)</f>
        <v>0</v>
      </c>
      <c t="str" r="S958">
        <f>CONCATENATE(F958,E958)</f>
        <v>NON FTLNON FTL</v>
      </c>
    </row>
    <row r="959">
      <c t="s" s="7" r="A959">
        <v>201</v>
      </c>
      <c s="7" r="B959">
        <v>986</v>
      </c>
      <c s="30" r="C959">
        <v>25</v>
      </c>
      <c t="s" s="30" r="D959">
        <v>136</v>
      </c>
      <c t="s" s="30" r="E959">
        <v>4</v>
      </c>
      <c t="s" s="30" r="F959">
        <v>4</v>
      </c>
      <c t="s" s="30" r="G959">
        <v>229</v>
      </c>
      <c t="str" s="12" r="H959">
        <f>HYPERLINK("http://sofifa.com/en/fifa13winter/player/147256-stanislav-manolev","S. Manolev")</f>
        <v>S. Manolev</v>
      </c>
      <c s="30" r="I959">
        <v>69</v>
      </c>
      <c t="s" s="30" r="J959">
        <v>109</v>
      </c>
      <c t="s" s="30" r="K959">
        <v>132</v>
      </c>
      <c t="s" s="30" r="L959">
        <v>153</v>
      </c>
      <c s="30" r="M959">
        <v>26</v>
      </c>
      <c s="26" r="N959">
        <v>1.6</v>
      </c>
      <c s="23" r="O959">
        <v>0.007</v>
      </c>
      <c s="7" r="P959"/>
      <c s="7" r="Q959"/>
      <c s="7" r="R959">
        <f>IF((P959&gt;0),O959,0)</f>
        <v>0</v>
      </c>
      <c t="str" r="S959">
        <f>CONCATENATE(F959,E959)</f>
        <v>NON FTLNON FTL</v>
      </c>
    </row>
    <row r="960">
      <c t="s" s="7" r="A960">
        <v>201</v>
      </c>
      <c s="7" r="B960">
        <v>987</v>
      </c>
      <c s="30" r="C960">
        <v>38</v>
      </c>
      <c t="s" s="30" r="D960">
        <v>136</v>
      </c>
      <c t="s" s="30" r="E960">
        <v>4</v>
      </c>
      <c t="s" s="30" r="F960">
        <v>4</v>
      </c>
      <c t="s" s="30" r="G960">
        <v>229</v>
      </c>
      <c t="str" s="12" r="H960">
        <f>HYPERLINK("http://sofifa.com/en/fifa13winter/player/148770-neil-etheridge","N. Etheridge")</f>
        <v>N. Etheridge</v>
      </c>
      <c s="30" r="I960">
        <v>60</v>
      </c>
      <c t="s" s="30" r="J960">
        <v>106</v>
      </c>
      <c t="s" s="30" r="K960">
        <v>134</v>
      </c>
      <c t="s" s="30" r="L960">
        <v>178</v>
      </c>
      <c s="30" r="M960">
        <v>22</v>
      </c>
      <c s="26" r="N960">
        <v>0.4</v>
      </c>
      <c s="23" r="O960">
        <v>0.003</v>
      </c>
      <c s="7" r="P960"/>
      <c s="7" r="Q960"/>
      <c s="7" r="R960">
        <f>IF((P960&gt;0),O960,0)</f>
        <v>0</v>
      </c>
      <c t="str" r="S960">
        <f>CONCATENATE(F960,E960)</f>
        <v>NON FTLNON FTL</v>
      </c>
    </row>
    <row r="961">
      <c t="s" s="7" r="A961">
        <v>201</v>
      </c>
      <c s="7" r="B961">
        <v>988</v>
      </c>
      <c s="30" r="C961">
        <v>36</v>
      </c>
      <c t="s" s="30" r="D961">
        <v>136</v>
      </c>
      <c t="s" s="30" r="E961">
        <v>4</v>
      </c>
      <c t="s" s="30" r="F961">
        <v>4</v>
      </c>
      <c t="s" s="30" r="G961">
        <v>229</v>
      </c>
      <c t="str" s="12" r="H961">
        <f>HYPERLINK("http://sofifa.com/en/fifa13winter/player/149954-buomesca-tue-na-bangna","Mesca")</f>
        <v>Mesca</v>
      </c>
      <c s="30" r="I961">
        <v>60</v>
      </c>
      <c t="s" s="30" r="J961">
        <v>120</v>
      </c>
      <c t="s" s="30" r="K961">
        <v>139</v>
      </c>
      <c t="s" s="30" r="L961">
        <v>149</v>
      </c>
      <c s="30" r="M961">
        <v>19</v>
      </c>
      <c s="26" r="N961">
        <v>0.6</v>
      </c>
      <c s="23" r="O961">
        <v>0.003</v>
      </c>
      <c s="7" r="P961"/>
      <c s="7" r="Q961"/>
      <c s="7" r="R961">
        <f>IF((P961&gt;0),O961,0)</f>
        <v>0</v>
      </c>
      <c t="str" r="S961">
        <f>CONCATENATE(F961,E961)</f>
        <v>NON FTLNON FTL</v>
      </c>
    </row>
    <row r="962">
      <c t="s" s="7" r="A962">
        <v>201</v>
      </c>
      <c s="7" r="B962">
        <v>989</v>
      </c>
      <c s="30" r="C962">
        <v>17</v>
      </c>
      <c t="s" s="30" r="D962">
        <v>136</v>
      </c>
      <c t="s" s="30" r="E962">
        <v>4</v>
      </c>
      <c t="s" s="30" r="F962">
        <v>4</v>
      </c>
      <c t="s" s="30" r="G962">
        <v>229</v>
      </c>
      <c t="str" s="12" r="H962">
        <f>HYPERLINK("http://sofifa.com/en/fifa13winter/player/149162-matthew-briggs","M. Briggs")</f>
        <v>M. Briggs</v>
      </c>
      <c s="30" r="I962">
        <v>66</v>
      </c>
      <c t="s" s="30" r="J962">
        <v>117</v>
      </c>
      <c t="s" s="30" r="K962">
        <v>134</v>
      </c>
      <c t="s" s="30" r="L962">
        <v>161</v>
      </c>
      <c s="30" r="M962">
        <v>21</v>
      </c>
      <c s="26" r="N962">
        <v>1.2</v>
      </c>
      <c s="23" r="O962">
        <v>0.005</v>
      </c>
      <c s="7" r="P962"/>
      <c s="7" r="Q962"/>
      <c s="7" r="R962">
        <f>IF((P962&gt;0),O962,0)</f>
        <v>0</v>
      </c>
      <c t="str" r="S962">
        <f>CONCATENATE(F962,E962)</f>
        <v>NON FTLNON FTL</v>
      </c>
    </row>
    <row r="963">
      <c t="s" s="7" r="A963">
        <v>201</v>
      </c>
      <c s="7" r="B963">
        <v>990</v>
      </c>
      <c s="30" r="C963">
        <v>13</v>
      </c>
      <c t="s" s="30" r="D963">
        <v>136</v>
      </c>
      <c t="s" s="30" r="E963">
        <v>4</v>
      </c>
      <c t="s" s="30" r="F963">
        <v>4</v>
      </c>
      <c t="s" s="30" r="G963">
        <v>229</v>
      </c>
      <c t="str" s="12" r="H963">
        <f>HYPERLINK("http://sofifa.com/en/fifa13winter/player/147230-david-stockdale","D. Stockdale")</f>
        <v>D. Stockdale</v>
      </c>
      <c s="30" r="I963">
        <v>73</v>
      </c>
      <c t="s" s="30" r="J963">
        <v>106</v>
      </c>
      <c t="s" s="30" r="K963">
        <v>144</v>
      </c>
      <c t="s" s="30" r="L963">
        <v>156</v>
      </c>
      <c s="30" r="M963">
        <v>26</v>
      </c>
      <c s="26" r="N963">
        <v>2.5</v>
      </c>
      <c s="23" r="O963">
        <v>0.01</v>
      </c>
      <c s="7" r="P963"/>
      <c s="7" r="Q963"/>
      <c s="7" r="R963">
        <f>IF((P963&gt;0),O963,0)</f>
        <v>0</v>
      </c>
      <c t="str" r="S963">
        <f>CONCATENATE(F963,E963)</f>
        <v>NON FTLNON FTL</v>
      </c>
    </row>
    <row r="964">
      <c t="s" s="7" r="A964">
        <v>201</v>
      </c>
      <c s="7" r="B964">
        <v>991</v>
      </c>
      <c s="30" r="C964">
        <v>18</v>
      </c>
      <c t="s" s="30" r="D964">
        <v>136</v>
      </c>
      <c t="s" s="30" r="E964">
        <v>4</v>
      </c>
      <c t="s" s="30" r="F964">
        <v>4</v>
      </c>
      <c t="s" s="30" r="G964">
        <v>229</v>
      </c>
      <c t="str" s="12" r="H964">
        <f>HYPERLINK("http://sofifa.com/en/fifa13winter/player/145026-aaron-hughes","A. Hughes")</f>
        <v>A. Hughes</v>
      </c>
      <c s="30" r="I964">
        <v>73</v>
      </c>
      <c t="s" s="30" r="J964">
        <v>113</v>
      </c>
      <c t="s" s="30" r="K964">
        <v>110</v>
      </c>
      <c t="s" s="30" r="L964">
        <v>161</v>
      </c>
      <c s="30" r="M964">
        <v>32</v>
      </c>
      <c s="26" r="N964">
        <v>2.2</v>
      </c>
      <c s="23" r="O964">
        <v>0.012</v>
      </c>
      <c s="7" r="P964"/>
      <c s="7" r="Q964"/>
      <c s="7" r="R964">
        <f>IF((P964&gt;0),O964,0)</f>
        <v>0</v>
      </c>
      <c t="str" r="S964">
        <f>CONCATENATE(F964,E964)</f>
        <v>NON FTLNON FTL</v>
      </c>
    </row>
    <row r="965">
      <c t="s" s="7" r="A965">
        <v>201</v>
      </c>
      <c s="7" r="B965">
        <v>992</v>
      </c>
      <c s="30" r="C965">
        <v>8</v>
      </c>
      <c t="s" s="30" r="D965">
        <v>136</v>
      </c>
      <c t="s" s="30" r="E965">
        <v>4</v>
      </c>
      <c t="s" s="30" r="F965">
        <v>4</v>
      </c>
      <c t="s" s="30" r="G965">
        <v>229</v>
      </c>
      <c t="str" s="12" r="H965">
        <f>HYPERLINK("http://sofifa.com/en/fifa13winter/player/146297-derek-boateng","D. Boateng")</f>
        <v>D. Boateng</v>
      </c>
      <c s="30" r="I965">
        <v>76</v>
      </c>
      <c t="s" s="30" r="J965">
        <v>154</v>
      </c>
      <c t="s" s="30" r="K965">
        <v>132</v>
      </c>
      <c t="s" s="30" r="L965">
        <v>161</v>
      </c>
      <c s="30" r="M965">
        <v>29</v>
      </c>
      <c s="26" r="N965">
        <v>4.1</v>
      </c>
      <c s="23" r="O965">
        <v>0.016</v>
      </c>
      <c s="7" r="P965"/>
      <c s="7" r="Q965"/>
      <c s="7" r="R965">
        <f>IF((P965&gt;0),O965,0)</f>
        <v>0</v>
      </c>
      <c t="str" r="S965">
        <f>CONCATENATE(F965,E965)</f>
        <v>NON FTLNON FTL</v>
      </c>
    </row>
    <row r="966">
      <c t="s" s="7" r="A966">
        <v>201</v>
      </c>
      <c s="7" r="B966">
        <v>993</v>
      </c>
      <c s="30" r="C966">
        <v>15</v>
      </c>
      <c t="s" s="30" r="D966">
        <v>136</v>
      </c>
      <c t="s" s="30" r="E966">
        <v>4</v>
      </c>
      <c t="s" s="30" r="F966">
        <v>4</v>
      </c>
      <c t="s" s="30" r="G966">
        <v>229</v>
      </c>
      <c t="str" s="12" r="H966">
        <f>HYPERLINK("http://sofifa.com/en/fifa13winter/player/146835-kieran-richardson","K. Richardson")</f>
        <v>K. Richardson</v>
      </c>
      <c s="30" r="I966">
        <v>74</v>
      </c>
      <c t="s" s="30" r="J966">
        <v>117</v>
      </c>
      <c t="s" s="30" r="K966">
        <v>139</v>
      </c>
      <c t="s" s="30" r="L966">
        <v>111</v>
      </c>
      <c s="30" r="M966">
        <v>27</v>
      </c>
      <c s="26" r="N966">
        <v>3.1</v>
      </c>
      <c s="23" r="O966">
        <v>0.011</v>
      </c>
      <c s="7" r="P966"/>
      <c s="7" r="Q966"/>
      <c s="7" r="R966">
        <f>IF((P966&gt;0),O966,0)</f>
        <v>0</v>
      </c>
      <c t="str" r="S966">
        <f>CONCATENATE(F966,E966)</f>
        <v>NON FTLNON FTL</v>
      </c>
    </row>
    <row r="967">
      <c t="s" s="7" r="A967">
        <v>201</v>
      </c>
      <c s="7" r="B967">
        <v>994</v>
      </c>
      <c s="30" r="C967">
        <v>24</v>
      </c>
      <c t="s" s="30" r="D967">
        <v>136</v>
      </c>
      <c t="s" s="30" r="E967">
        <v>4</v>
      </c>
      <c t="s" s="30" r="F967">
        <v>4</v>
      </c>
      <c t="s" s="30" r="G967">
        <v>229</v>
      </c>
      <c t="str" s="12" r="H967">
        <f>HYPERLINK("http://sofifa.com/en/fifa13winter/player/147457-ashkan-dejagah","A. Dejagah")</f>
        <v>A. Dejagah</v>
      </c>
      <c s="30" r="I967">
        <v>75</v>
      </c>
      <c t="s" s="30" r="J967">
        <v>120</v>
      </c>
      <c t="s" s="30" r="K967">
        <v>150</v>
      </c>
      <c t="s" s="30" r="L967">
        <v>161</v>
      </c>
      <c s="30" r="M967">
        <v>26</v>
      </c>
      <c s="26" r="N967">
        <v>4.3</v>
      </c>
      <c s="23" r="O967">
        <v>0.013</v>
      </c>
      <c s="7" r="P967"/>
      <c s="7" r="Q967"/>
      <c s="7" r="R967">
        <f>IF((P967&gt;0),O967,0)</f>
        <v>0</v>
      </c>
      <c t="str" r="S967">
        <f>CONCATENATE(F967,E967)</f>
        <v>NON FTLNON FTL</v>
      </c>
    </row>
    <row r="968">
      <c t="s" s="7" r="A968">
        <v>201</v>
      </c>
      <c s="7" r="B968">
        <v>995</v>
      </c>
      <c s="30" r="C968">
        <v>20</v>
      </c>
      <c t="s" s="30" r="D968">
        <v>136</v>
      </c>
      <c t="s" s="30" r="E968">
        <v>4</v>
      </c>
      <c t="s" s="30" r="F968">
        <v>4</v>
      </c>
      <c t="s" s="30" r="G968">
        <v>229</v>
      </c>
      <c t="str" s="12" r="H968">
        <f>HYPERLINK("http://sofifa.com/en/fifa13winter/player/147112-hugo-rodallega","H. Rodallega")</f>
        <v>H. Rodallega</v>
      </c>
      <c s="30" r="I968">
        <v>75</v>
      </c>
      <c t="s" s="30" r="J968">
        <v>129</v>
      </c>
      <c t="s" s="30" r="K968">
        <v>150</v>
      </c>
      <c t="s" s="30" r="L968">
        <v>146</v>
      </c>
      <c s="30" r="M968">
        <v>27</v>
      </c>
      <c s="26" r="N968">
        <v>4.8</v>
      </c>
      <c s="23" r="O968">
        <v>0.013</v>
      </c>
      <c s="7" r="P968"/>
      <c s="7" r="Q968"/>
      <c s="7" r="R968">
        <f>IF((P968&gt;0),O968,0)</f>
        <v>0</v>
      </c>
      <c t="str" r="S968">
        <f>CONCATENATE(F968,E968)</f>
        <v>NON FTLNON FTL</v>
      </c>
    </row>
    <row r="969">
      <c t="s" s="7" r="A969">
        <v>201</v>
      </c>
      <c s="7" r="B969">
        <v>996</v>
      </c>
      <c s="30" r="C969">
        <v>47</v>
      </c>
      <c t="s" s="30" r="D969">
        <v>147</v>
      </c>
      <c t="s" s="30" r="E969">
        <v>4</v>
      </c>
      <c t="s" s="30" r="F969">
        <v>4</v>
      </c>
      <c t="s" s="30" r="G969">
        <v>229</v>
      </c>
      <c t="str" s="12" r="H969">
        <f>HYPERLINK("http://sofifa.com/en/fifa13winter/player/149908-jesse-joronen","J. Joronen")</f>
        <v>J. Joronen</v>
      </c>
      <c s="30" r="I969">
        <v>56</v>
      </c>
      <c t="s" s="30" r="J969">
        <v>106</v>
      </c>
      <c t="s" s="30" r="K969">
        <v>215</v>
      </c>
      <c t="s" s="30" r="L969">
        <v>191</v>
      </c>
      <c s="30" r="M969">
        <v>19</v>
      </c>
      <c s="26" r="N969">
        <v>0.1</v>
      </c>
      <c s="23" r="O969">
        <v>0.002</v>
      </c>
      <c s="7" r="P969"/>
      <c s="7" r="Q969"/>
      <c s="7" r="R969">
        <f>IF((P969&gt;0),O969,0)</f>
        <v>0</v>
      </c>
      <c t="str" r="S969">
        <f>CONCATENATE(F969,E969)</f>
        <v>NON FTLNON FTL</v>
      </c>
    </row>
    <row r="970">
      <c t="s" s="7" r="A970">
        <v>201</v>
      </c>
      <c s="7" r="B970">
        <v>997</v>
      </c>
      <c s="30" r="C970">
        <v>53</v>
      </c>
      <c t="s" s="30" r="D970">
        <v>147</v>
      </c>
      <c t="s" s="30" r="E970">
        <v>4</v>
      </c>
      <c t="s" s="30" r="F970">
        <v>4</v>
      </c>
      <c t="s" s="30" r="G970">
        <v>229</v>
      </c>
      <c t="str" s="12" r="H970">
        <f>HYPERLINK("http://sofifa.com/en/fifa13winter/player/150611-muamer-tankovic","M. Tankovic")</f>
        <v>M. Tankovic</v>
      </c>
      <c s="30" r="I970">
        <v>63</v>
      </c>
      <c t="s" s="30" r="J970">
        <v>171</v>
      </c>
      <c t="s" s="30" r="K970">
        <v>114</v>
      </c>
      <c t="s" s="30" r="L970">
        <v>151</v>
      </c>
      <c s="30" r="M970">
        <v>17</v>
      </c>
      <c s="26" r="N970">
        <v>1.1</v>
      </c>
      <c s="23" r="O970">
        <v>0.003</v>
      </c>
      <c s="7" r="P970"/>
      <c s="7" r="Q970"/>
      <c s="7" r="R970">
        <f>IF((P970&gt;0),O970,0)</f>
        <v>0</v>
      </c>
      <c t="str" r="S970">
        <f>CONCATENATE(F970,E970)</f>
        <v>NON FTLNON FTL</v>
      </c>
    </row>
    <row r="971">
      <c t="s" s="7" r="A971">
        <v>201</v>
      </c>
      <c s="7" r="B971">
        <v>998</v>
      </c>
      <c s="30" r="C971">
        <v>42</v>
      </c>
      <c t="s" s="30" r="D971">
        <v>147</v>
      </c>
      <c t="s" s="30" r="E971">
        <v>4</v>
      </c>
      <c t="s" s="30" r="F971">
        <v>4</v>
      </c>
      <c t="s" s="30" r="G971">
        <v>229</v>
      </c>
      <c t="str" s="12" r="H971">
        <f>HYPERLINK("http://sofifa.com/en/fifa13winter/player/150089-charles-banya","C. Banya")</f>
        <v>C. Banya</v>
      </c>
      <c s="30" r="I971">
        <v>57</v>
      </c>
      <c t="s" s="30" r="J971">
        <v>128</v>
      </c>
      <c t="s" s="30" r="K971">
        <v>121</v>
      </c>
      <c t="s" s="30" r="L971">
        <v>127</v>
      </c>
      <c s="30" r="M971">
        <v>18</v>
      </c>
      <c s="26" r="N971">
        <v>0.2</v>
      </c>
      <c s="23" r="O971">
        <v>0.002</v>
      </c>
      <c s="7" r="P971"/>
      <c s="7" r="Q971"/>
      <c s="7" r="R971">
        <f>IF((P971&gt;0),O971,0)</f>
        <v>0</v>
      </c>
      <c t="str" r="S971">
        <f>CONCATENATE(F971,E971)</f>
        <v>NON FTLNON FTL</v>
      </c>
    </row>
    <row r="972">
      <c t="s" s="7" r="A972">
        <v>201</v>
      </c>
      <c s="7" r="B972">
        <v>999</v>
      </c>
      <c s="30" r="C972">
        <v>45</v>
      </c>
      <c t="s" s="30" r="D972">
        <v>147</v>
      </c>
      <c t="s" s="30" r="E972">
        <v>4</v>
      </c>
      <c t="s" s="30" r="F972">
        <v>4</v>
      </c>
      <c t="s" s="30" r="G972">
        <v>229</v>
      </c>
      <c t="str" s="12" r="H972">
        <f>HYPERLINK("http://sofifa.com/en/fifa13winter/player/150808-george-williams","G. Williams")</f>
        <v>G. Williams</v>
      </c>
      <c s="30" r="I972">
        <v>54</v>
      </c>
      <c t="s" s="30" r="J972">
        <v>129</v>
      </c>
      <c t="s" s="30" r="K972">
        <v>187</v>
      </c>
      <c t="s" s="30" r="L972">
        <v>119</v>
      </c>
      <c s="30" r="M972">
        <v>16</v>
      </c>
      <c s="26" r="N972">
        <v>0.1</v>
      </c>
      <c s="23" r="O972">
        <v>0.001</v>
      </c>
      <c s="7" r="P972"/>
      <c s="7" r="Q972"/>
      <c s="7" r="R972">
        <f>IF((P972&gt;0),O972,0)</f>
        <v>0</v>
      </c>
      <c t="str" r="S972">
        <f>CONCATENATE(F972,E972)</f>
        <v>NON FTLNON FTL</v>
      </c>
    </row>
    <row r="973">
      <c t="s" s="7" r="A973">
        <v>201</v>
      </c>
      <c s="7" r="B973">
        <v>1000</v>
      </c>
      <c s="30" r="C973">
        <v>28</v>
      </c>
      <c t="s" s="30" r="D973">
        <v>147</v>
      </c>
      <c t="s" s="30" r="E973">
        <v>4</v>
      </c>
      <c t="s" s="30" r="F973">
        <v>4</v>
      </c>
      <c t="s" s="30" r="G973">
        <v>229</v>
      </c>
      <c t="str" s="12" r="H973">
        <f>HYPERLINK("http://sofifa.com/en/fifa13winter/player/147438-urby-emanuelson","U. Emanuelson")</f>
        <v>U. Emanuelson</v>
      </c>
      <c s="30" r="I973">
        <v>80</v>
      </c>
      <c t="s" s="30" r="J973">
        <v>128</v>
      </c>
      <c t="s" s="30" r="K973">
        <v>172</v>
      </c>
      <c t="s" s="30" r="L973">
        <v>146</v>
      </c>
      <c s="30" r="M973">
        <v>26</v>
      </c>
      <c s="26" r="N973">
        <v>10.4</v>
      </c>
      <c s="23" r="O973">
        <v>0.03</v>
      </c>
      <c s="7" r="P973"/>
      <c s="7" r="Q973"/>
      <c s="7" r="R973">
        <f>IF((P973&gt;0),O973,0)</f>
        <v>0</v>
      </c>
      <c t="str" r="S973">
        <f>CONCATENATE(F973,E973)</f>
        <v>NON FTLNON FTL</v>
      </c>
    </row>
    <row r="974">
      <c t="s" s="7" r="A974">
        <v>201</v>
      </c>
      <c s="7" r="B974">
        <v>1001</v>
      </c>
      <c s="30" r="C974">
        <v>44</v>
      </c>
      <c t="s" s="30" r="D974">
        <v>147</v>
      </c>
      <c t="s" s="30" r="E974">
        <v>4</v>
      </c>
      <c t="s" s="30" r="F974">
        <v>4</v>
      </c>
      <c t="s" s="30" r="G974">
        <v>229</v>
      </c>
      <c t="str" s="12" r="H974">
        <f>HYPERLINK("http://sofifa.com/en/fifa13winter/player/150218-jack-grimmer","J. Grimmer")</f>
        <v>J. Grimmer</v>
      </c>
      <c s="30" r="I974">
        <v>51</v>
      </c>
      <c t="s" s="30" r="J974">
        <v>113</v>
      </c>
      <c t="s" s="30" r="K974">
        <v>167</v>
      </c>
      <c t="s" s="30" r="L974">
        <v>108</v>
      </c>
      <c s="30" r="M974">
        <v>18</v>
      </c>
      <c s="26" r="N974">
        <v>0.1</v>
      </c>
      <c s="23" r="O974">
        <v>0.002</v>
      </c>
      <c s="7" r="P974"/>
      <c s="7" r="Q974"/>
      <c s="7" r="R974">
        <f>IF((P974&gt;0),O974,0)</f>
        <v>0</v>
      </c>
      <c t="str" r="S974">
        <f>CONCATENATE(F974,E974)</f>
        <v>NON FTLNON FTL</v>
      </c>
    </row>
    <row r="975">
      <c t="s" s="7" r="A975">
        <v>201</v>
      </c>
      <c s="7" r="B975">
        <v>1002</v>
      </c>
      <c s="30" r="C975">
        <v>52</v>
      </c>
      <c t="s" s="30" r="D975">
        <v>147</v>
      </c>
      <c t="s" s="30" r="E975">
        <v>4</v>
      </c>
      <c t="s" s="30" r="F975">
        <v>4</v>
      </c>
      <c t="s" s="30" r="G975">
        <v>229</v>
      </c>
      <c t="str" s="12" r="H975">
        <f>HYPERLINK("http://sofifa.com/en/fifa13winter/player/150129-ryan-williams","R. Williams")</f>
        <v>R. Williams</v>
      </c>
      <c s="30" r="I975">
        <v>61</v>
      </c>
      <c t="s" s="30" r="J975">
        <v>120</v>
      </c>
      <c t="s" s="30" r="K975">
        <v>182</v>
      </c>
      <c t="s" s="30" r="L975">
        <v>115</v>
      </c>
      <c s="30" r="M975">
        <v>18</v>
      </c>
      <c s="26" r="N975">
        <v>0.7</v>
      </c>
      <c s="23" r="O975">
        <v>0.003</v>
      </c>
      <c s="7" r="P975"/>
      <c s="7" r="Q975"/>
      <c s="7" r="R975">
        <f>IF((P975&gt;0),O975,0)</f>
        <v>0</v>
      </c>
      <c t="str" r="S975">
        <f>CONCATENATE(F975,E975)</f>
        <v>NON FTLNON FTL</v>
      </c>
    </row>
    <row r="976">
      <c t="s" s="7" r="A976">
        <v>201</v>
      </c>
      <c s="7" r="B976">
        <v>1003</v>
      </c>
      <c s="30" r="C976">
        <v>46</v>
      </c>
      <c t="s" s="30" r="D976">
        <v>147</v>
      </c>
      <c t="s" s="30" r="E976">
        <v>4</v>
      </c>
      <c t="s" s="30" r="F976">
        <v>4</v>
      </c>
      <c t="s" s="30" r="G976">
        <v>229</v>
      </c>
      <c t="str" s="12" r="H976">
        <f>HYPERLINK("http://sofifa.com/en/fifa13winter/player/150171-ronny-minkwitz","R. Minkwitz")</f>
        <v>R. Minkwitz</v>
      </c>
      <c s="30" r="I976">
        <v>61</v>
      </c>
      <c t="s" s="30" r="J976">
        <v>154</v>
      </c>
      <c t="s" s="30" r="K976">
        <v>139</v>
      </c>
      <c t="s" s="30" r="L976">
        <v>146</v>
      </c>
      <c s="30" r="M976">
        <v>18</v>
      </c>
      <c s="26" r="N976">
        <v>0.6</v>
      </c>
      <c s="23" r="O976">
        <v>0.003</v>
      </c>
      <c s="7" r="P976"/>
      <c s="7" r="Q976"/>
      <c s="7" r="R976">
        <f>IF((P976&gt;0),O976,0)</f>
        <v>0</v>
      </c>
      <c t="str" r="S976">
        <f>CONCATENATE(F976,E976)</f>
        <v>NON FTLNON FTL</v>
      </c>
    </row>
    <row r="977">
      <c t="s" s="7" r="A977">
        <v>201</v>
      </c>
      <c s="7" r="B977">
        <v>1004</v>
      </c>
      <c s="30" r="C977">
        <v>55</v>
      </c>
      <c t="s" s="30" r="D977">
        <v>147</v>
      </c>
      <c t="s" s="30" r="E977">
        <v>4</v>
      </c>
      <c t="s" s="30" r="F977">
        <v>4</v>
      </c>
      <c t="s" s="30" r="G977">
        <v>229</v>
      </c>
      <c t="str" s="12" r="H977">
        <f>HYPERLINK("http://sofifa.com/en/fifa13winter/player/149607-marcus-bettinelli","M. Bettinelli")</f>
        <v>M. Bettinelli</v>
      </c>
      <c s="30" r="I977">
        <v>56</v>
      </c>
      <c t="s" s="30" r="J977">
        <v>106</v>
      </c>
      <c t="s" s="30" r="K977">
        <v>188</v>
      </c>
      <c t="s" s="30" r="L977">
        <v>183</v>
      </c>
      <c s="30" r="M977">
        <v>20</v>
      </c>
      <c s="26" r="N977">
        <v>0.1</v>
      </c>
      <c s="23" r="O977">
        <v>0.002</v>
      </c>
      <c s="7" r="P977"/>
      <c s="7" r="Q977"/>
      <c s="7" r="R977">
        <f>IF((P977&gt;0),O977,0)</f>
        <v>0</v>
      </c>
      <c t="str" r="S977">
        <f>CONCATENATE(F977,E977)</f>
        <v>NON FTLNON FTL</v>
      </c>
    </row>
    <row r="978">
      <c t="s" s="7" r="A978">
        <v>201</v>
      </c>
      <c s="7" r="B978">
        <v>1005</v>
      </c>
      <c s="30" r="C978">
        <v>51</v>
      </c>
      <c t="s" s="30" r="D978">
        <v>147</v>
      </c>
      <c t="s" s="30" r="E978">
        <v>4</v>
      </c>
      <c t="s" s="30" r="F978">
        <v>4</v>
      </c>
      <c t="s" s="30" r="G978">
        <v>229</v>
      </c>
      <c t="str" s="12" r="H978">
        <f>HYPERLINK("http://sofifa.com/en/fifa13winter/player/149893-chris-david","C. David")</f>
        <v>C. David</v>
      </c>
      <c s="30" r="I978">
        <v>64</v>
      </c>
      <c t="s" s="30" r="J978">
        <v>162</v>
      </c>
      <c t="s" s="30" r="K978">
        <v>121</v>
      </c>
      <c t="s" s="30" r="L978">
        <v>122</v>
      </c>
      <c s="30" r="M978">
        <v>19</v>
      </c>
      <c s="26" r="N978">
        <v>1.1</v>
      </c>
      <c s="23" r="O978">
        <v>0.004</v>
      </c>
      <c s="7" r="P978"/>
      <c s="7" r="Q978"/>
      <c s="7" r="R978">
        <f>IF((P978&gt;0),O978,0)</f>
        <v>0</v>
      </c>
      <c t="str" r="S978">
        <f>CONCATENATE(F978,E978)</f>
        <v>NON FTLNON FTL</v>
      </c>
    </row>
    <row r="979">
      <c t="s" s="7" r="A979">
        <v>201</v>
      </c>
      <c s="7" r="B979">
        <v>1006</v>
      </c>
      <c s="30" r="C979">
        <v>30</v>
      </c>
      <c t="s" s="30" r="D979">
        <v>106</v>
      </c>
      <c t="s" s="30" r="E979">
        <v>4</v>
      </c>
      <c t="s" s="30" r="F979">
        <v>4</v>
      </c>
      <c t="s" s="30" r="G979">
        <v>230</v>
      </c>
      <c t="str" s="12" r="H979">
        <f>HYPERLINK("http://sofifa.com/en/fifa13winter/player/146993-steve-mandanda","S. Mandanda")</f>
        <v>S. Mandanda</v>
      </c>
      <c s="30" r="I979">
        <v>83</v>
      </c>
      <c t="s" s="30" r="J979">
        <v>106</v>
      </c>
      <c t="s" s="30" r="K979">
        <v>132</v>
      </c>
      <c t="s" s="30" r="L979">
        <v>193</v>
      </c>
      <c s="30" r="M979">
        <v>27</v>
      </c>
      <c s="26" r="N979">
        <v>12.5</v>
      </c>
      <c s="23" r="O979">
        <v>0.068</v>
      </c>
      <c s="7" r="P979"/>
      <c s="7" r="Q979"/>
      <c s="7" r="R979">
        <f>IF((P979&gt;0),O979,0)</f>
        <v>0</v>
      </c>
      <c t="str" r="S979">
        <f>CONCATENATE(F979,E979)</f>
        <v>NON FTLNON FTL</v>
      </c>
    </row>
    <row r="980">
      <c t="s" s="7" r="A980">
        <v>201</v>
      </c>
      <c s="7" r="B980">
        <v>1007</v>
      </c>
      <c s="30" r="C980">
        <v>24</v>
      </c>
      <c t="s" s="30" r="D980">
        <v>109</v>
      </c>
      <c t="s" s="30" r="E980">
        <v>4</v>
      </c>
      <c t="s" s="30" r="F980">
        <v>4</v>
      </c>
      <c t="s" s="30" r="G980">
        <v>230</v>
      </c>
      <c t="str" s="12" r="H980">
        <f>HYPERLINK("http://sofifa.com/en/fifa13winter/player/145785-rod-fanni","R. Fanni")</f>
        <v>R. Fanni</v>
      </c>
      <c s="30" r="I980">
        <v>76</v>
      </c>
      <c t="s" s="30" r="J980">
        <v>109</v>
      </c>
      <c t="s" s="30" r="K980">
        <v>173</v>
      </c>
      <c t="s" s="30" r="L980">
        <v>161</v>
      </c>
      <c s="30" r="M980">
        <v>30</v>
      </c>
      <c s="26" r="N980">
        <v>3.9</v>
      </c>
      <c s="23" r="O980">
        <v>0.017</v>
      </c>
      <c s="7" r="P980"/>
      <c s="7" r="Q980"/>
      <c s="7" r="R980">
        <f>IF((P980&gt;0),O980,0)</f>
        <v>0</v>
      </c>
      <c t="str" r="S980">
        <f>CONCATENATE(F980,E980)</f>
        <v>NON FTLNON FTL</v>
      </c>
    </row>
    <row r="981">
      <c t="s" s="7" r="A981">
        <v>201</v>
      </c>
      <c s="7" r="B981">
        <v>1008</v>
      </c>
      <c s="30" r="C981">
        <v>3</v>
      </c>
      <c t="s" s="30" r="D981">
        <v>112</v>
      </c>
      <c t="s" s="30" r="E981">
        <v>4</v>
      </c>
      <c t="s" s="30" r="F981">
        <v>4</v>
      </c>
      <c t="s" s="30" r="G981">
        <v>230</v>
      </c>
      <c t="str" s="12" r="H981">
        <f>HYPERLINK("http://sofifa.com/en/fifa13winter/player/148818-nicolas-nkoulou","N. N'Koulou")</f>
        <v>N. N'Koulou</v>
      </c>
      <c s="30" r="I981">
        <v>80</v>
      </c>
      <c t="s" s="30" r="J981">
        <v>113</v>
      </c>
      <c t="s" s="30" r="K981">
        <v>114</v>
      </c>
      <c t="s" s="30" r="L981">
        <v>138</v>
      </c>
      <c s="30" r="M981">
        <v>22</v>
      </c>
      <c s="26" r="N981">
        <v>10.9</v>
      </c>
      <c s="23" r="O981">
        <v>0.028</v>
      </c>
      <c s="7" r="P981"/>
      <c s="7" r="Q981"/>
      <c s="7" r="R981">
        <f>IF((P981&gt;0),O981,0)</f>
        <v>0</v>
      </c>
      <c t="str" r="S981">
        <f>CONCATENATE(F981,E981)</f>
        <v>NON FTLNON FTL</v>
      </c>
    </row>
    <row r="982">
      <c t="s" s="7" r="A982">
        <v>201</v>
      </c>
      <c s="7" r="B982">
        <v>1009</v>
      </c>
      <c s="30" r="C982">
        <v>4</v>
      </c>
      <c t="s" s="30" r="D982">
        <v>116</v>
      </c>
      <c t="s" s="30" r="E982">
        <v>4</v>
      </c>
      <c t="s" s="30" r="F982">
        <v>4</v>
      </c>
      <c t="s" s="30" r="G982">
        <v>230</v>
      </c>
      <c t="str" s="12" r="H982">
        <f>HYPERLINK("http://sofifa.com/en/fifa13winter/player/148916-lucas-michel-mendes","Lucas Mendes")</f>
        <v>Lucas Mendes</v>
      </c>
      <c s="30" r="I982">
        <v>74</v>
      </c>
      <c t="s" s="30" r="J982">
        <v>113</v>
      </c>
      <c t="s" s="30" r="K982">
        <v>110</v>
      </c>
      <c t="s" s="30" r="L982">
        <v>183</v>
      </c>
      <c s="30" r="M982">
        <v>22</v>
      </c>
      <c s="26" r="N982">
        <v>3.6</v>
      </c>
      <c s="23" r="O982">
        <v>0.01</v>
      </c>
      <c s="7" r="P982"/>
      <c s="7" r="Q982"/>
      <c s="7" r="R982">
        <f>IF((P982&gt;0),O982,0)</f>
        <v>0</v>
      </c>
      <c t="str" r="S982">
        <f>CONCATENATE(F982,E982)</f>
        <v>NON FTLNON FTL</v>
      </c>
    </row>
    <row r="983">
      <c t="s" s="7" r="A983">
        <v>201</v>
      </c>
      <c s="7" r="B983">
        <v>1010</v>
      </c>
      <c s="30" r="C983">
        <v>15</v>
      </c>
      <c t="s" s="30" r="D983">
        <v>117</v>
      </c>
      <c t="s" s="30" r="E983">
        <v>4</v>
      </c>
      <c t="s" s="30" r="F983">
        <v>4</v>
      </c>
      <c t="s" s="30" r="G983">
        <v>230</v>
      </c>
      <c t="str" s="12" r="H983">
        <f>HYPERLINK("http://sofifa.com/en/fifa13winter/player/146633-jeremy-morel","J. Morel")</f>
        <v>J. Morel</v>
      </c>
      <c s="30" r="I983">
        <v>74</v>
      </c>
      <c t="s" s="30" r="J983">
        <v>117</v>
      </c>
      <c t="s" s="30" r="K983">
        <v>187</v>
      </c>
      <c t="s" s="30" r="L983">
        <v>142</v>
      </c>
      <c s="30" r="M983">
        <v>28</v>
      </c>
      <c s="26" r="N983">
        <v>3</v>
      </c>
      <c s="23" r="O983">
        <v>0.011</v>
      </c>
      <c s="7" r="P983"/>
      <c s="7" r="Q983"/>
      <c s="7" r="R983">
        <f>IF((P983&gt;0),O983,0)</f>
        <v>0</v>
      </c>
      <c t="str" r="S983">
        <f>CONCATENATE(F983,E983)</f>
        <v>NON FTLNON FTL</v>
      </c>
    </row>
    <row r="984">
      <c t="s" s="7" r="A984">
        <v>201</v>
      </c>
      <c s="7" r="B984">
        <v>1011</v>
      </c>
      <c s="30" r="C984">
        <v>6</v>
      </c>
      <c t="s" s="30" r="D984">
        <v>186</v>
      </c>
      <c t="s" s="30" r="E984">
        <v>4</v>
      </c>
      <c t="s" s="30" r="F984">
        <v>4</v>
      </c>
      <c t="s" s="30" r="G984">
        <v>230</v>
      </c>
      <c t="str" s="12" r="H984">
        <f>HYPERLINK("http://sofifa.com/en/fifa13winter/player/146055-joey-barton","J. Barton")</f>
        <v>J. Barton</v>
      </c>
      <c s="30" r="I984">
        <v>76</v>
      </c>
      <c t="s" s="30" r="J984">
        <v>124</v>
      </c>
      <c t="s" s="30" r="K984">
        <v>114</v>
      </c>
      <c t="s" s="30" r="L984">
        <v>137</v>
      </c>
      <c s="30" r="M984">
        <v>29</v>
      </c>
      <c s="26" r="N984">
        <v>4.4</v>
      </c>
      <c s="23" r="O984">
        <v>0.016</v>
      </c>
      <c s="7" r="P984"/>
      <c s="7" r="Q984"/>
      <c s="7" r="R984">
        <f>IF((P984&gt;0),O984,0)</f>
        <v>0</v>
      </c>
      <c t="str" r="S984">
        <f>CONCATENATE(F984,E984)</f>
        <v>NON FTLNON FTL</v>
      </c>
    </row>
    <row r="985">
      <c t="s" s="7" r="A985">
        <v>201</v>
      </c>
      <c s="7" r="B985">
        <v>1012</v>
      </c>
      <c s="30" r="C985">
        <v>7</v>
      </c>
      <c t="s" s="30" r="D985">
        <v>174</v>
      </c>
      <c t="s" s="30" r="E985">
        <v>4</v>
      </c>
      <c t="s" s="30" r="F985">
        <v>4</v>
      </c>
      <c t="s" s="30" r="G985">
        <v>230</v>
      </c>
      <c t="str" s="12" r="H985">
        <f>HYPERLINK("http://sofifa.com/en/fifa13winter/player/145568-benoit-cheyrou","B. Cheyrou")</f>
        <v>B. Cheyrou</v>
      </c>
      <c s="30" r="I985">
        <v>75</v>
      </c>
      <c t="s" s="30" r="J985">
        <v>154</v>
      </c>
      <c t="s" s="30" r="K985">
        <v>143</v>
      </c>
      <c t="s" s="30" r="L985">
        <v>161</v>
      </c>
      <c s="30" r="M985">
        <v>31</v>
      </c>
      <c s="26" r="N985">
        <v>3.1</v>
      </c>
      <c s="23" r="O985">
        <v>0.015</v>
      </c>
      <c s="7" r="P985"/>
      <c s="7" r="Q985"/>
      <c s="7" r="R985">
        <f>IF((P985&gt;0),O985,0)</f>
        <v>0</v>
      </c>
      <c t="str" r="S985">
        <f>CONCATENATE(F985,E985)</f>
        <v>NON FTLNON FTL</v>
      </c>
    </row>
    <row r="986">
      <c t="s" s="7" r="A986">
        <v>201</v>
      </c>
      <c s="7" r="B986">
        <v>1013</v>
      </c>
      <c s="30" r="C986">
        <v>8</v>
      </c>
      <c t="s" s="30" r="D986">
        <v>120</v>
      </c>
      <c t="s" s="30" r="E986">
        <v>4</v>
      </c>
      <c t="s" s="30" r="F986">
        <v>4</v>
      </c>
      <c t="s" s="30" r="G986">
        <v>230</v>
      </c>
      <c t="str" s="12" r="H986">
        <f>HYPERLINK("http://sofifa.com/en/fifa13winter/player/149351-jordan-ayew","J. Ayew")</f>
        <v>J. Ayew</v>
      </c>
      <c s="30" r="I986">
        <v>75</v>
      </c>
      <c t="s" s="30" r="J986">
        <v>129</v>
      </c>
      <c t="s" s="30" r="K986">
        <v>143</v>
      </c>
      <c t="s" s="30" r="L986">
        <v>153</v>
      </c>
      <c s="30" r="M986">
        <v>20</v>
      </c>
      <c s="26" r="N986">
        <v>5.6</v>
      </c>
      <c s="23" r="O986">
        <v>0.011</v>
      </c>
      <c s="7" r="P986"/>
      <c s="7" r="Q986"/>
      <c s="7" r="R986">
        <f>IF((P986&gt;0),O986,0)</f>
        <v>0</v>
      </c>
      <c t="str" r="S986">
        <f>CONCATENATE(F986,E986)</f>
        <v>NON FTLNON FTL</v>
      </c>
    </row>
    <row r="987">
      <c t="s" s="7" r="A987">
        <v>201</v>
      </c>
      <c s="7" r="B987">
        <v>1014</v>
      </c>
      <c s="30" r="C987">
        <v>10</v>
      </c>
      <c t="s" s="30" r="D987">
        <v>128</v>
      </c>
      <c t="s" s="30" r="E987">
        <v>4</v>
      </c>
      <c t="s" s="30" r="F987">
        <v>4</v>
      </c>
      <c t="s" s="30" r="G987">
        <v>230</v>
      </c>
      <c t="str" s="12" r="H987">
        <f>HYPERLINK("http://sofifa.com/en/fifa13winter/player/148718-andre-ayew","A. Ayew")</f>
        <v>A. Ayew</v>
      </c>
      <c s="30" r="I987">
        <v>81</v>
      </c>
      <c t="s" s="30" r="J987">
        <v>128</v>
      </c>
      <c t="s" s="30" r="K987">
        <v>172</v>
      </c>
      <c t="s" s="30" r="L987">
        <v>146</v>
      </c>
      <c s="30" r="M987">
        <v>22</v>
      </c>
      <c s="26" r="N987">
        <v>13.5</v>
      </c>
      <c s="23" r="O987">
        <v>0.037</v>
      </c>
      <c s="7" r="P987"/>
      <c s="7" r="Q987"/>
      <c s="7" r="R987">
        <f>IF((P987&gt;0),O987,0)</f>
        <v>0</v>
      </c>
      <c t="str" r="S987">
        <f>CONCATENATE(F987,E987)</f>
        <v>NON FTLNON FTL</v>
      </c>
    </row>
    <row r="988">
      <c t="s" s="7" r="A988">
        <v>201</v>
      </c>
      <c s="7" r="B988">
        <v>1015</v>
      </c>
      <c s="30" r="C988">
        <v>28</v>
      </c>
      <c t="s" s="30" r="D988">
        <v>162</v>
      </c>
      <c t="s" s="30" r="E988">
        <v>4</v>
      </c>
      <c t="s" s="30" r="F988">
        <v>4</v>
      </c>
      <c t="s" s="30" r="G988">
        <v>230</v>
      </c>
      <c t="str" s="12" r="H988">
        <f>HYPERLINK("http://sofifa.com/en/fifa13winter/player/146812-mathieu-valbuena","M. Valbuena")</f>
        <v>M. Valbuena</v>
      </c>
      <c s="30" r="I988">
        <v>82</v>
      </c>
      <c t="s" s="30" r="J988">
        <v>162</v>
      </c>
      <c t="s" s="30" r="K988">
        <v>231</v>
      </c>
      <c t="s" s="30" r="L988">
        <v>228</v>
      </c>
      <c s="30" r="M988">
        <v>27</v>
      </c>
      <c s="26" r="N988">
        <v>15.8</v>
      </c>
      <c s="23" r="O988">
        <v>0.053</v>
      </c>
      <c s="7" r="P988"/>
      <c s="7" r="Q988"/>
      <c s="7" r="R988">
        <f>IF((P988&gt;0),O988,0)</f>
        <v>0</v>
      </c>
      <c t="str" r="S988">
        <f>CONCATENATE(F988,E988)</f>
        <v>NON FTLNON FTL</v>
      </c>
    </row>
    <row r="989">
      <c t="s" s="7" r="A989">
        <v>201</v>
      </c>
      <c s="7" r="B989">
        <v>1016</v>
      </c>
      <c s="30" r="C989">
        <v>9</v>
      </c>
      <c t="s" s="30" r="D989">
        <v>129</v>
      </c>
      <c t="s" s="30" r="E989">
        <v>4</v>
      </c>
      <c t="s" s="30" r="F989">
        <v>4</v>
      </c>
      <c t="s" s="30" r="G989">
        <v>230</v>
      </c>
      <c t="str" s="12" r="H989">
        <f>HYPERLINK("http://sofifa.com/en/fifa13winter/player/147245-andre-pierre-gignac","A. Gignac")</f>
        <v>A. Gignac</v>
      </c>
      <c s="30" r="I989">
        <v>77</v>
      </c>
      <c t="s" s="30" r="J989">
        <v>129</v>
      </c>
      <c t="s" s="30" r="K989">
        <v>173</v>
      </c>
      <c t="s" s="30" r="L989">
        <v>156</v>
      </c>
      <c s="30" r="M989">
        <v>26</v>
      </c>
      <c s="26" r="N989">
        <v>6.7</v>
      </c>
      <c s="23" r="O989">
        <v>0.017</v>
      </c>
      <c s="7" r="P989"/>
      <c s="7" r="Q989"/>
      <c s="7" r="R989">
        <f>IF((P989&gt;0),O989,0)</f>
        <v>0</v>
      </c>
      <c t="str" r="S989">
        <f>CONCATENATE(F989,E989)</f>
        <v>NON FTLNON FTL</v>
      </c>
    </row>
    <row r="990">
      <c t="s" s="7" r="A990">
        <v>201</v>
      </c>
      <c s="7" r="B990">
        <v>1017</v>
      </c>
      <c s="30" r="C990">
        <v>13</v>
      </c>
      <c t="s" s="30" r="D990">
        <v>136</v>
      </c>
      <c t="s" s="30" r="E990">
        <v>4</v>
      </c>
      <c t="s" s="30" r="F990">
        <v>4</v>
      </c>
      <c t="s" s="30" r="G990">
        <v>230</v>
      </c>
      <c t="str" s="12" r="H990">
        <f>HYPERLINK("http://sofifa.com/en/fifa13winter/player/150208-rafidine-abdullah","R. Abdullah")</f>
        <v>R. Abdullah</v>
      </c>
      <c s="30" r="I990">
        <v>62</v>
      </c>
      <c t="s" s="30" r="J990">
        <v>124</v>
      </c>
      <c t="s" s="30" r="K990">
        <v>145</v>
      </c>
      <c t="s" s="30" r="L990">
        <v>151</v>
      </c>
      <c s="30" r="M990">
        <v>18</v>
      </c>
      <c s="26" r="N990">
        <v>0.8</v>
      </c>
      <c s="23" r="O990">
        <v>0.003</v>
      </c>
      <c s="7" r="P990"/>
      <c s="7" r="Q990"/>
      <c s="7" r="R990">
        <f>IF((P990&gt;0),O990,0)</f>
        <v>0</v>
      </c>
      <c t="str" r="S990">
        <f>CONCATENATE(F990,E990)</f>
        <v>NON FTLNON FTL</v>
      </c>
    </row>
    <row r="991">
      <c t="s" s="7" r="A991">
        <v>201</v>
      </c>
      <c s="7" r="B991">
        <v>1018</v>
      </c>
      <c s="30" r="C991">
        <v>23</v>
      </c>
      <c t="s" s="30" r="D991">
        <v>136</v>
      </c>
      <c t="s" s="30" r="E991">
        <v>4</v>
      </c>
      <c t="s" s="30" r="F991">
        <v>4</v>
      </c>
      <c t="s" s="30" r="G991">
        <v>230</v>
      </c>
      <c t="str" s="12" r="H991">
        <f>HYPERLINK("http://sofifa.com/en/fifa13winter/player/150216-wesley-jobello","W. Jobello")</f>
        <v>W. Jobello</v>
      </c>
      <c s="30" r="I991">
        <v>57</v>
      </c>
      <c t="s" s="30" r="J991">
        <v>171</v>
      </c>
      <c t="s" s="30" r="K991">
        <v>145</v>
      </c>
      <c t="s" s="30" r="L991">
        <v>115</v>
      </c>
      <c s="30" r="M991">
        <v>18</v>
      </c>
      <c s="26" r="N991">
        <v>0.3</v>
      </c>
      <c s="23" r="O991">
        <v>0.002</v>
      </c>
      <c s="7" r="P991"/>
      <c s="7" r="Q991"/>
      <c s="7" r="R991">
        <f>IF((P991&gt;0),O991,0)</f>
        <v>0</v>
      </c>
      <c t="str" r="S991">
        <f>CONCATENATE(F991,E991)</f>
        <v>NON FTLNON FTL</v>
      </c>
    </row>
    <row r="992">
      <c t="s" s="7" r="A992">
        <v>201</v>
      </c>
      <c s="7" r="B992">
        <v>1019</v>
      </c>
      <c s="30" r="C992">
        <v>25</v>
      </c>
      <c t="s" s="30" r="D992">
        <v>136</v>
      </c>
      <c t="s" s="30" r="E992">
        <v>4</v>
      </c>
      <c t="s" s="30" r="F992">
        <v>4</v>
      </c>
      <c t="s" s="30" r="G992">
        <v>230</v>
      </c>
      <c t="str" s="12" r="H992">
        <f>HYPERLINK("http://sofifa.com/en/fifa13winter/player/150011-billel-omrani","B. Omrani")</f>
        <v>B. Omrani</v>
      </c>
      <c s="30" r="I992">
        <v>63</v>
      </c>
      <c t="s" s="30" r="J992">
        <v>129</v>
      </c>
      <c t="s" s="30" r="K992">
        <v>152</v>
      </c>
      <c t="s" s="30" r="L992">
        <v>108</v>
      </c>
      <c s="30" r="M992">
        <v>19</v>
      </c>
      <c s="26" r="N992">
        <v>1.1</v>
      </c>
      <c s="23" r="O992">
        <v>0.003</v>
      </c>
      <c s="7" r="P992"/>
      <c s="7" r="Q992"/>
      <c s="7" r="R992">
        <f>IF((P992&gt;0),O992,0)</f>
        <v>0</v>
      </c>
      <c t="str" r="S992">
        <f>CONCATENATE(F992,E992)</f>
        <v>NON FTLNON FTL</v>
      </c>
    </row>
    <row r="993">
      <c t="s" s="7" r="A993">
        <v>201</v>
      </c>
      <c s="7" r="B993">
        <v>1020</v>
      </c>
      <c s="30" r="C993">
        <v>16</v>
      </c>
      <c t="s" s="30" r="D993">
        <v>136</v>
      </c>
      <c t="s" s="30" r="E993">
        <v>4</v>
      </c>
      <c t="s" s="30" r="F993">
        <v>4</v>
      </c>
      <c t="s" s="30" r="G993">
        <v>230</v>
      </c>
      <c t="str" s="12" r="H993">
        <f>HYPERLINK("http://sofifa.com/en/fifa13winter/player/150308-brice-samba","B. Samba")</f>
        <v>B. Samba</v>
      </c>
      <c s="30" r="I993">
        <v>60</v>
      </c>
      <c t="s" s="30" r="J993">
        <v>106</v>
      </c>
      <c t="s" s="30" r="K993">
        <v>173</v>
      </c>
      <c t="s" s="30" r="L993">
        <v>158</v>
      </c>
      <c s="30" r="M993">
        <v>18</v>
      </c>
      <c s="26" r="N993">
        <v>0.5</v>
      </c>
      <c s="23" r="O993">
        <v>0.002</v>
      </c>
      <c s="7" r="P993"/>
      <c s="7" r="Q993"/>
      <c s="7" r="R993">
        <f>IF((P993&gt;0),O993,0)</f>
        <v>0</v>
      </c>
      <c t="str" r="S993">
        <f>CONCATENATE(F993,E993)</f>
        <v>NON FTLNON FTL</v>
      </c>
    </row>
    <row r="994">
      <c t="s" s="7" r="A994">
        <v>201</v>
      </c>
      <c s="7" r="B994">
        <v>1021</v>
      </c>
      <c s="30" r="C994">
        <v>37</v>
      </c>
      <c t="s" s="30" r="D994">
        <v>136</v>
      </c>
      <c t="s" s="30" r="E994">
        <v>4</v>
      </c>
      <c t="s" s="30" r="F994">
        <v>4</v>
      </c>
      <c t="s" s="30" r="G994">
        <v>230</v>
      </c>
      <c t="str" s="12" r="H994">
        <f>HYPERLINK("http://sofifa.com/en/fifa13winter/player/150554-achille-anani","A. Anani")</f>
        <v>A. Anani</v>
      </c>
      <c s="30" r="I994">
        <v>60</v>
      </c>
      <c t="s" s="30" r="J994">
        <v>129</v>
      </c>
      <c t="s" s="30" r="K994">
        <v>145</v>
      </c>
      <c t="s" s="30" r="L994">
        <v>115</v>
      </c>
      <c s="30" r="M994">
        <v>17</v>
      </c>
      <c s="26" r="N994">
        <v>0.7</v>
      </c>
      <c s="23" r="O994">
        <v>0.002</v>
      </c>
      <c s="7" r="P994"/>
      <c s="7" r="Q994"/>
      <c s="7" r="R994">
        <f>IF((P994&gt;0),O994,0)</f>
        <v>0</v>
      </c>
      <c t="str" r="S994">
        <f>CONCATENATE(F994,E994)</f>
        <v>NON FTLNON FTL</v>
      </c>
    </row>
    <row r="995">
      <c t="s" s="7" r="A995">
        <v>201</v>
      </c>
      <c s="7" r="B995">
        <v>1022</v>
      </c>
      <c s="30" r="C995">
        <v>21</v>
      </c>
      <c t="s" s="30" r="D995">
        <v>136</v>
      </c>
      <c t="s" s="30" r="E995">
        <v>4</v>
      </c>
      <c t="s" s="30" r="F995">
        <v>4</v>
      </c>
      <c t="s" s="30" r="G995">
        <v>230</v>
      </c>
      <c t="str" s="12" r="H995">
        <f>HYPERLINK("http://sofifa.com/en/fifa13winter/player/144707-souleymane-diawara","S. Diawara")</f>
        <v>S. Diawara</v>
      </c>
      <c s="30" r="I995">
        <v>75</v>
      </c>
      <c t="s" s="30" r="J995">
        <v>113</v>
      </c>
      <c t="s" s="30" r="K995">
        <v>155</v>
      </c>
      <c t="s" s="30" r="L995">
        <v>175</v>
      </c>
      <c s="30" r="M995">
        <v>33</v>
      </c>
      <c s="26" r="N995">
        <v>2.9</v>
      </c>
      <c s="23" r="O995">
        <v>0.016</v>
      </c>
      <c s="7" r="P995"/>
      <c s="7" r="Q995"/>
      <c s="7" r="R995">
        <f>IF((P995&gt;0),O995,0)</f>
        <v>0</v>
      </c>
      <c t="str" r="S995">
        <f>CONCATENATE(F995,E995)</f>
        <v>NON FTLNON FTL</v>
      </c>
    </row>
    <row r="996">
      <c t="s" s="7" r="A996">
        <v>201</v>
      </c>
      <c s="7" r="B996">
        <v>1023</v>
      </c>
      <c s="30" r="C996">
        <v>2</v>
      </c>
      <c t="s" s="30" r="D996">
        <v>136</v>
      </c>
      <c t="s" s="30" r="E996">
        <v>4</v>
      </c>
      <c t="s" s="30" r="F996">
        <v>4</v>
      </c>
      <c t="s" s="30" r="G996">
        <v>230</v>
      </c>
      <c t="str" s="12" r="H996">
        <f>HYPERLINK("http://sofifa.com/en/fifa13winter/player/147735-kassim-abdallah","K. Abdallah")</f>
        <v>K. Abdallah</v>
      </c>
      <c s="30" r="I996">
        <v>69</v>
      </c>
      <c t="s" s="30" r="J996">
        <v>109</v>
      </c>
      <c t="s" s="30" r="K996">
        <v>173</v>
      </c>
      <c t="s" s="30" r="L996">
        <v>158</v>
      </c>
      <c s="30" r="M996">
        <v>25</v>
      </c>
      <c s="26" r="N996">
        <v>1.6</v>
      </c>
      <c s="23" r="O996">
        <v>0.007</v>
      </c>
      <c s="7" r="P996"/>
      <c s="7" r="Q996"/>
      <c s="7" r="R996">
        <f>IF((P996&gt;0),O996,0)</f>
        <v>0</v>
      </c>
      <c t="str" r="S996">
        <f>CONCATENATE(F996,E996)</f>
        <v>NON FTLNON FTL</v>
      </c>
    </row>
    <row r="997">
      <c t="s" s="7" r="A997">
        <v>201</v>
      </c>
      <c s="7" r="B997">
        <v>1024</v>
      </c>
      <c s="30" r="C997">
        <v>14</v>
      </c>
      <c t="s" s="30" r="D997">
        <v>136</v>
      </c>
      <c t="s" s="30" r="E997">
        <v>4</v>
      </c>
      <c t="s" s="30" r="F997">
        <v>4</v>
      </c>
      <c t="s" s="30" r="G997">
        <v>230</v>
      </c>
      <c t="str" s="12" r="H997">
        <f>HYPERLINK("http://sofifa.com/en/fifa13winter/player/146514-foued-kadir","F. Kadir")</f>
        <v>F. Kadir</v>
      </c>
      <c s="30" r="I997">
        <v>75</v>
      </c>
      <c t="s" s="30" r="J997">
        <v>162</v>
      </c>
      <c t="s" s="30" r="K997">
        <v>114</v>
      </c>
      <c t="s" s="30" r="L997">
        <v>122</v>
      </c>
      <c s="30" r="M997">
        <v>28</v>
      </c>
      <c s="26" r="N997">
        <v>4.5</v>
      </c>
      <c s="23" r="O997">
        <v>0.013</v>
      </c>
      <c s="7" r="P997"/>
      <c s="7" r="Q997"/>
      <c s="7" r="R997">
        <f>IF((P997&gt;0),O997,0)</f>
        <v>0</v>
      </c>
      <c t="str" r="S997">
        <f>CONCATENATE(F997,E997)</f>
        <v>NON FTLNON FTL</v>
      </c>
    </row>
    <row r="998">
      <c t="s" s="7" r="A998">
        <v>201</v>
      </c>
      <c s="7" r="B998">
        <v>1025</v>
      </c>
      <c s="30" r="C998">
        <v>27</v>
      </c>
      <c t="s" s="30" r="D998">
        <v>136</v>
      </c>
      <c t="s" s="30" r="E998">
        <v>4</v>
      </c>
      <c t="s" s="30" r="F998">
        <v>4</v>
      </c>
      <c t="s" s="30" r="G998">
        <v>230</v>
      </c>
      <c t="str" s="12" r="H998">
        <f>HYPERLINK("http://sofifa.com/en/fifa13winter/player/146893-modou-sougou","M. Sougou")</f>
        <v>M. Sougou</v>
      </c>
      <c s="30" r="I998">
        <v>71</v>
      </c>
      <c t="s" s="30" r="J998">
        <v>157</v>
      </c>
      <c t="s" s="30" r="K998">
        <v>118</v>
      </c>
      <c t="s" s="30" r="L998">
        <v>115</v>
      </c>
      <c s="30" r="M998">
        <v>27</v>
      </c>
      <c s="26" r="N998">
        <v>2.4</v>
      </c>
      <c s="23" r="O998">
        <v>0.008</v>
      </c>
      <c s="7" r="P998"/>
      <c s="7" r="Q998"/>
      <c s="7" r="R998">
        <f>IF((P998&gt;0),O998,0)</f>
        <v>0</v>
      </c>
      <c t="str" r="S998">
        <f>CONCATENATE(F998,E998)</f>
        <v>NON FTLNON FTL</v>
      </c>
    </row>
    <row r="999">
      <c t="s" s="7" r="A999">
        <v>201</v>
      </c>
      <c s="7" r="B999">
        <v>1026</v>
      </c>
      <c s="30" r="C999">
        <v>18</v>
      </c>
      <c t="s" s="30" r="D999">
        <v>136</v>
      </c>
      <c t="s" s="30" r="E999">
        <v>4</v>
      </c>
      <c t="s" s="30" r="F999">
        <v>4</v>
      </c>
      <c t="s" s="30" r="G999">
        <v>230</v>
      </c>
      <c t="str" s="12" r="H999">
        <f>HYPERLINK("http://sofifa.com/en/fifa13winter/player/146985-morgan-amalfitano","M. Amalfitano")</f>
        <v>M. Amalfitano</v>
      </c>
      <c s="30" r="I999">
        <v>74</v>
      </c>
      <c t="s" s="30" r="J999">
        <v>120</v>
      </c>
      <c t="s" s="30" r="K999">
        <v>172</v>
      </c>
      <c t="s" s="30" r="L999">
        <v>115</v>
      </c>
      <c s="30" r="M999">
        <v>27</v>
      </c>
      <c s="26" r="N999">
        <v>3.4</v>
      </c>
      <c s="23" r="O999">
        <v>0.011</v>
      </c>
      <c s="7" r="P999"/>
      <c s="7" r="Q999"/>
      <c s="7" r="R999">
        <f>IF((P999&gt;0),O999,0)</f>
        <v>0</v>
      </c>
      <c t="str" r="S999">
        <f>CONCATENATE(F999,E999)</f>
        <v>NON FTLNON FTL</v>
      </c>
    </row>
    <row r="1000">
      <c t="s" s="7" r="A1000">
        <v>201</v>
      </c>
      <c s="7" r="B1000">
        <v>1027</v>
      </c>
      <c s="30" r="C1000">
        <v>5</v>
      </c>
      <c t="s" s="30" r="D1000">
        <v>136</v>
      </c>
      <c t="s" s="30" r="E1000">
        <v>4</v>
      </c>
      <c t="s" s="30" r="F1000">
        <v>4</v>
      </c>
      <c t="s" s="30" r="G1000">
        <v>230</v>
      </c>
      <c t="str" s="12" r="H1000">
        <f>HYPERLINK("http://sofifa.com/en/fifa13winter/player/147137-leyti-ndiaye","L. N'Diaye")</f>
        <v>L. N'Diaye</v>
      </c>
      <c s="30" r="I1000">
        <v>66</v>
      </c>
      <c t="s" s="30" r="J1000">
        <v>113</v>
      </c>
      <c t="s" s="30" r="K1000">
        <v>134</v>
      </c>
      <c t="s" s="30" r="L1000">
        <v>156</v>
      </c>
      <c s="30" r="M1000">
        <v>27</v>
      </c>
      <c s="26" r="N1000">
        <v>1.1</v>
      </c>
      <c s="23" r="O1000">
        <v>0.005</v>
      </c>
      <c s="7" r="P1000"/>
      <c s="7" r="Q1000"/>
      <c s="7" r="R1000">
        <f>IF((P1000&gt;0),O1000,0)</f>
        <v>0</v>
      </c>
      <c t="str" r="S1000">
        <f>CONCATENATE(F1000,E1000)</f>
        <v>NON FTLNON FTL</v>
      </c>
    </row>
    <row r="1001">
      <c t="s" s="7" r="A1001">
        <v>201</v>
      </c>
      <c s="7" r="B1001">
        <v>1028</v>
      </c>
      <c s="30" r="C1001">
        <v>20</v>
      </c>
      <c t="s" s="30" r="D1001">
        <v>136</v>
      </c>
      <c t="s" s="30" r="E1001">
        <v>4</v>
      </c>
      <c t="s" s="30" r="F1001">
        <v>4</v>
      </c>
      <c t="s" s="30" r="G1001">
        <v>230</v>
      </c>
      <c t="str" s="12" r="H1001">
        <f>HYPERLINK("http://sofifa.com/en/fifa13winter/player/146558-alaixys-romao","A. Romao")</f>
        <v>A. Romao</v>
      </c>
      <c s="30" r="I1001">
        <v>74</v>
      </c>
      <c t="s" s="30" r="J1001">
        <v>154</v>
      </c>
      <c t="s" s="30" r="K1001">
        <v>114</v>
      </c>
      <c t="s" s="30" r="L1001">
        <v>160</v>
      </c>
      <c s="30" r="M1001">
        <v>28</v>
      </c>
      <c s="26" r="N1001">
        <v>3</v>
      </c>
      <c s="23" r="O1001">
        <v>0.011</v>
      </c>
      <c s="7" r="P1001"/>
      <c s="7" r="Q1001"/>
      <c s="7" r="R1001">
        <f>IF((P1001&gt;0),O1001,0)</f>
        <v>0</v>
      </c>
      <c t="str" r="S1001">
        <f>CONCATENATE(F1001,E1001)</f>
        <v>NON FTLNON FTL</v>
      </c>
    </row>
    <row r="1002">
      <c t="s" s="7" r="A1002">
        <v>201</v>
      </c>
      <c s="7" r="B1002">
        <v>1029</v>
      </c>
      <c s="30" r="C1002">
        <v>12</v>
      </c>
      <c t="s" s="30" r="D1002">
        <v>147</v>
      </c>
      <c t="s" s="30" r="E1002">
        <v>4</v>
      </c>
      <c t="s" s="30" r="F1002">
        <v>4</v>
      </c>
      <c t="s" s="30" r="G1002">
        <v>230</v>
      </c>
      <c t="str" s="12" r="H1002">
        <f>HYPERLINK("http://sofifa.com/en/fifa13winter/player/149182-kevin-osei","K. Osei")</f>
        <v>K. Osei</v>
      </c>
      <c s="30" r="I1002">
        <v>59</v>
      </c>
      <c t="s" s="30" r="J1002">
        <v>162</v>
      </c>
      <c t="s" s="30" r="K1002">
        <v>130</v>
      </c>
      <c t="s" s="30" r="L1002">
        <v>142</v>
      </c>
      <c s="30" r="M1002">
        <v>21</v>
      </c>
      <c s="26" r="N1002">
        <v>0.5</v>
      </c>
      <c s="23" r="O1002">
        <v>0.003</v>
      </c>
      <c s="7" r="P1002"/>
      <c s="7" r="Q1002"/>
      <c s="7" r="R1002">
        <f>IF((P1002&gt;0),O1002,0)</f>
        <v>0</v>
      </c>
      <c t="str" r="S1002">
        <f>CONCATENATE(F1002,E1002)</f>
        <v>NON FTLNON FTL</v>
      </c>
    </row>
    <row r="1003">
      <c t="s" s="7" r="A1003">
        <v>201</v>
      </c>
      <c s="7" r="B1003">
        <v>1030</v>
      </c>
      <c s="30" r="C1003">
        <v>39</v>
      </c>
      <c t="s" s="30" r="D1003">
        <v>147</v>
      </c>
      <c t="s" s="30" r="E1003">
        <v>4</v>
      </c>
      <c t="s" s="30" r="F1003">
        <v>4</v>
      </c>
      <c t="s" s="30" r="G1003">
        <v>230</v>
      </c>
      <c t="str" s="12" r="H1003">
        <f>HYPERLINK("http://sofifa.com/en/fifa13winter/player/147034-fabrice-apruzesse","F. Apruzesse")</f>
        <v>F. Apruzesse</v>
      </c>
      <c s="30" r="I1003">
        <v>56</v>
      </c>
      <c t="s" s="30" r="J1003">
        <v>129</v>
      </c>
      <c t="s" s="30" r="K1003">
        <v>121</v>
      </c>
      <c t="s" s="30" r="L1003">
        <v>151</v>
      </c>
      <c s="30" r="M1003">
        <v>27</v>
      </c>
      <c s="26" r="N1003">
        <v>0.1</v>
      </c>
      <c s="23" r="O1003">
        <v>0.002</v>
      </c>
      <c s="7" r="P1003"/>
      <c s="7" r="Q1003"/>
      <c s="7" r="R1003">
        <f>IF((P1003&gt;0),O1003,0)</f>
        <v>0</v>
      </c>
      <c t="str" r="S1003">
        <f>CONCATENATE(F1003,E1003)</f>
        <v>NON FTLNON FTL</v>
      </c>
    </row>
    <row r="1004">
      <c t="s" s="7" r="A1004">
        <v>201</v>
      </c>
      <c s="7" r="B1004">
        <v>1031</v>
      </c>
      <c s="30" r="C1004">
        <v>50</v>
      </c>
      <c t="s" s="30" r="D1004">
        <v>147</v>
      </c>
      <c t="s" s="30" r="E1004">
        <v>4</v>
      </c>
      <c t="s" s="30" r="F1004">
        <v>4</v>
      </c>
      <c t="s" s="30" r="G1004">
        <v>230</v>
      </c>
      <c t="str" s="12" r="H1004">
        <f>HYPERLINK("http://sofifa.com/en/fifa13winter/player/150783-ibrahima-sy","I. Sy")</f>
        <v>I. Sy</v>
      </c>
      <c s="30" r="I1004">
        <v>59</v>
      </c>
      <c t="s" s="30" r="J1004">
        <v>106</v>
      </c>
      <c t="s" s="30" r="K1004">
        <v>169</v>
      </c>
      <c t="s" s="30" r="L1004">
        <v>180</v>
      </c>
      <c s="30" r="M1004">
        <v>17</v>
      </c>
      <c s="26" r="N1004">
        <v>0.4</v>
      </c>
      <c s="23" r="O1004">
        <v>0.002</v>
      </c>
      <c s="7" r="P1004"/>
      <c s="7" r="Q1004"/>
      <c s="7" r="R1004">
        <f>IF((P1004&gt;0),O1004,0)</f>
        <v>0</v>
      </c>
      <c t="str" r="S1004">
        <f>CONCATENATE(F1004,E1004)</f>
        <v>NON FTLNON FTL</v>
      </c>
    </row>
    <row r="1005">
      <c t="s" s="7" r="A1005">
        <v>201</v>
      </c>
      <c s="7" r="B1005">
        <v>1032</v>
      </c>
      <c s="30" r="C1005">
        <v>1</v>
      </c>
      <c t="s" s="30" r="D1005">
        <v>147</v>
      </c>
      <c t="s" s="30" r="E1005">
        <v>4</v>
      </c>
      <c t="s" s="30" r="F1005">
        <v>4</v>
      </c>
      <c t="s" s="30" r="G1005">
        <v>230</v>
      </c>
      <c t="str" s="12" r="H1005">
        <f>HYPERLINK("http://sofifa.com/en/fifa13winter/player/145140-gennaro-bracigliano","G. Bracigliano")</f>
        <v>G. Bracigliano</v>
      </c>
      <c s="30" r="I1005">
        <v>61</v>
      </c>
      <c t="s" s="30" r="J1005">
        <v>106</v>
      </c>
      <c t="s" s="30" r="K1005">
        <v>110</v>
      </c>
      <c t="s" s="30" r="L1005">
        <v>193</v>
      </c>
      <c s="30" r="M1005">
        <v>32</v>
      </c>
      <c s="26" r="N1005">
        <v>0.4</v>
      </c>
      <c s="23" r="O1005">
        <v>0.004</v>
      </c>
      <c s="7" r="P1005"/>
      <c s="7" r="Q1005"/>
      <c s="7" r="R1005">
        <f>IF((P1005&gt;0),O1005,0)</f>
        <v>0</v>
      </c>
      <c t="str" r="S1005">
        <f>CONCATENATE(F1005,E1005)</f>
        <v>NON FTLNON FTL</v>
      </c>
    </row>
    <row r="1006">
      <c t="s" s="7" r="A1006">
        <v>201</v>
      </c>
      <c s="7" r="B1006">
        <v>1033</v>
      </c>
      <c s="30" r="C1006">
        <v>38</v>
      </c>
      <c t="s" s="30" r="D1006">
        <v>147</v>
      </c>
      <c t="s" s="30" r="E1006">
        <v>4</v>
      </c>
      <c t="s" s="30" r="F1006">
        <v>4</v>
      </c>
      <c t="s" s="30" r="G1006">
        <v>230</v>
      </c>
      <c t="str" s="12" r="H1006">
        <f>HYPERLINK("http://sofifa.com/en/fifa13winter/player/150596-gael-andonian","G. Andonian")</f>
        <v>G. Andonian</v>
      </c>
      <c s="30" r="I1006">
        <v>59</v>
      </c>
      <c t="s" s="30" r="J1006">
        <v>113</v>
      </c>
      <c t="s" s="30" r="K1006">
        <v>132</v>
      </c>
      <c t="s" s="30" r="L1006">
        <v>160</v>
      </c>
      <c s="30" r="M1006">
        <v>17</v>
      </c>
      <c s="26" r="N1006">
        <v>0.5</v>
      </c>
      <c s="23" r="O1006">
        <v>0.002</v>
      </c>
      <c s="7" r="P1006"/>
      <c s="7" r="Q1006"/>
      <c s="7" r="R1006">
        <f>IF((P1006&gt;0),O1006,0)</f>
        <v>0</v>
      </c>
      <c t="str" r="S1006">
        <f>CONCATENATE(F1006,E1006)</f>
        <v>NON FTLNON FTL</v>
      </c>
    </row>
    <row r="1007">
      <c t="s" s="7" r="A1007">
        <v>201</v>
      </c>
      <c s="7" r="B1007">
        <v>1034</v>
      </c>
      <c s="30" r="C1007">
        <v>40</v>
      </c>
      <c t="s" s="30" r="D1007">
        <v>147</v>
      </c>
      <c t="s" s="30" r="E1007">
        <v>4</v>
      </c>
      <c t="s" s="30" r="F1007">
        <v>4</v>
      </c>
      <c t="s" s="30" r="G1007">
        <v>230</v>
      </c>
      <c t="str" s="12" r="H1007">
        <f>HYPERLINK("http://sofifa.com/en/fifa13winter/player/150229-julien-fabri","J. Fabri")</f>
        <v>J. Fabri</v>
      </c>
      <c s="30" r="I1007">
        <v>58</v>
      </c>
      <c t="s" s="30" r="J1007">
        <v>106</v>
      </c>
      <c t="s" s="30" r="K1007">
        <v>110</v>
      </c>
      <c t="s" s="30" r="L1007">
        <v>151</v>
      </c>
      <c s="30" r="M1007">
        <v>18</v>
      </c>
      <c s="26" r="N1007">
        <v>0.3</v>
      </c>
      <c s="23" r="O1007">
        <v>0.002</v>
      </c>
      <c s="7" r="P1007"/>
      <c s="7" r="Q1007"/>
      <c s="7" r="R1007">
        <f>IF((P1007&gt;0),O1007,0)</f>
        <v>0</v>
      </c>
      <c t="str" r="S1007">
        <f>CONCATENATE(F1007,E1007)</f>
        <v>NON FTLNON FTL</v>
      </c>
    </row>
    <row r="1008">
      <c t="s" s="7" r="A1008">
        <v>201</v>
      </c>
      <c s="7" r="B1008">
        <v>1035</v>
      </c>
      <c s="30" r="C1008">
        <v>35</v>
      </c>
      <c t="s" s="30" r="D1008">
        <v>147</v>
      </c>
      <c t="s" s="30" r="E1008">
        <v>4</v>
      </c>
      <c t="s" s="30" r="F1008">
        <v>4</v>
      </c>
      <c t="s" s="30" r="G1008">
        <v>230</v>
      </c>
      <c t="str" s="12" r="H1008">
        <f>HYPERLINK("http://sofifa.com/en/fifa13winter/player/150373-baptiste-aloe","B. Aloé")</f>
        <v>B. Aloé</v>
      </c>
      <c s="30" r="I1008">
        <v>61</v>
      </c>
      <c t="s" s="30" r="J1008">
        <v>113</v>
      </c>
      <c t="s" s="30" r="K1008">
        <v>110</v>
      </c>
      <c t="s" s="30" r="L1008">
        <v>151</v>
      </c>
      <c s="30" r="M1008">
        <v>18</v>
      </c>
      <c s="26" r="N1008">
        <v>0.7</v>
      </c>
      <c s="23" r="O1008">
        <v>0.003</v>
      </c>
      <c s="7" r="P1008"/>
      <c s="7" r="Q1008"/>
      <c s="7" r="R1008">
        <f>IF((P1008&gt;0),O1008,0)</f>
        <v>0</v>
      </c>
      <c t="str" r="S1008">
        <f>CONCATENATE(F1008,E1008)</f>
        <v>NON FTLNON FTL</v>
      </c>
    </row>
    <row r="1009">
      <c t="s" s="7" r="A1009">
        <v>201</v>
      </c>
      <c s="7" r="B1009">
        <v>1036</v>
      </c>
      <c s="30" r="C1009">
        <v>31</v>
      </c>
      <c t="s" s="30" r="D1009">
        <v>147</v>
      </c>
      <c t="s" s="30" r="E1009">
        <v>4</v>
      </c>
      <c t="s" s="30" r="F1009">
        <v>4</v>
      </c>
      <c t="s" s="30" r="G1009">
        <v>230</v>
      </c>
      <c t="str" s="12" r="H1009">
        <f>HYPERLINK("http://sofifa.com/en/fifa13winter/player/150248-momar-bangoura","M. Bangoura")</f>
        <v>M. Bangoura</v>
      </c>
      <c s="30" r="I1009">
        <v>53</v>
      </c>
      <c t="s" s="30" r="J1009">
        <v>154</v>
      </c>
      <c t="s" s="30" r="K1009">
        <v>114</v>
      </c>
      <c t="s" s="30" r="L1009">
        <v>149</v>
      </c>
      <c s="30" r="M1009">
        <v>18</v>
      </c>
      <c s="26" r="N1009">
        <v>0.1</v>
      </c>
      <c s="23" r="O1009">
        <v>0.002</v>
      </c>
      <c s="7" r="P1009"/>
      <c s="7" r="Q1009"/>
      <c s="7" r="R1009">
        <f>IF((P1009&gt;0),O1009,0)</f>
        <v>0</v>
      </c>
      <c t="str" r="S1009">
        <f>CONCATENATE(F1009,E1009)</f>
        <v>NON FTLNON FTL</v>
      </c>
    </row>
    <row r="1010">
      <c t="s" s="7" r="A1010">
        <v>201</v>
      </c>
      <c s="7" r="B1010">
        <v>1037</v>
      </c>
      <c s="30" r="C1010">
        <v>26</v>
      </c>
      <c t="s" s="30" r="D1010">
        <v>147</v>
      </c>
      <c t="s" s="30" r="E1010">
        <v>4</v>
      </c>
      <c t="s" s="30" r="F1010">
        <v>4</v>
      </c>
      <c t="s" s="30" r="G1010">
        <v>230</v>
      </c>
      <c t="str" s="12" r="H1010">
        <f>HYPERLINK("http://sofifa.com/en/fifa13winter/player/150275-larry-azouni","L. Azouni")</f>
        <v>L. Azouni</v>
      </c>
      <c s="30" r="I1010">
        <v>56</v>
      </c>
      <c t="s" s="30" r="J1010">
        <v>154</v>
      </c>
      <c t="s" s="30" r="K1010">
        <v>159</v>
      </c>
      <c t="s" s="30" r="L1010">
        <v>149</v>
      </c>
      <c s="30" r="M1010">
        <v>18</v>
      </c>
      <c s="26" r="N1010">
        <v>0.1</v>
      </c>
      <c s="23" r="O1010">
        <v>0.002</v>
      </c>
      <c s="7" r="P1010"/>
      <c s="7" r="Q1010"/>
      <c s="7" r="R1010">
        <f>IF((P1010&gt;0),O1010,0)</f>
        <v>0</v>
      </c>
      <c t="str" r="S1010">
        <f>CONCATENATE(F1010,E1010)</f>
        <v>NON FTLNON FTL</v>
      </c>
    </row>
    <row r="1011">
      <c t="s" s="7" r="A1011">
        <v>201</v>
      </c>
      <c s="7" r="B1011">
        <v>1038</v>
      </c>
      <c s="30" r="C1011">
        <v>34</v>
      </c>
      <c t="s" s="30" r="D1011">
        <v>147</v>
      </c>
      <c t="s" s="30" r="E1011">
        <v>4</v>
      </c>
      <c t="s" s="30" r="F1011">
        <v>4</v>
      </c>
      <c t="s" s="30" r="G1011">
        <v>230</v>
      </c>
      <c t="str" s="12" r="H1011">
        <f>HYPERLINK("http://sofifa.com/en/fifa13winter/player/149860-laurent-abergel","L. Abergel")</f>
        <v>L. Abergel</v>
      </c>
      <c s="30" r="I1011">
        <v>59</v>
      </c>
      <c t="s" s="30" r="J1011">
        <v>109</v>
      </c>
      <c t="s" s="30" r="K1011">
        <v>121</v>
      </c>
      <c t="s" s="30" r="L1011">
        <v>149</v>
      </c>
      <c s="30" r="M1011">
        <v>19</v>
      </c>
      <c s="26" r="N1011">
        <v>0.4</v>
      </c>
      <c s="23" r="O1011">
        <v>0.002</v>
      </c>
      <c s="7" r="P1011"/>
      <c s="7" r="Q1011"/>
      <c s="7" r="R1011">
        <f>IF((P1011&gt;0),O1011,0)</f>
        <v>0</v>
      </c>
      <c t="str" r="S1011">
        <f>CONCATENATE(F1011,E1011)</f>
        <v>NON FTLNON FTL</v>
      </c>
    </row>
    <row r="1012">
      <c t="s" s="7" r="A1012">
        <v>201</v>
      </c>
      <c s="7" r="B1012">
        <v>1039</v>
      </c>
      <c s="30" r="C1012">
        <v>12</v>
      </c>
      <c t="s" s="30" r="D1012">
        <v>106</v>
      </c>
      <c t="s" s="30" r="E1012">
        <v>4</v>
      </c>
      <c t="s" s="30" r="F1012">
        <v>4</v>
      </c>
      <c t="s" s="30" r="G1012">
        <v>232</v>
      </c>
      <c t="str" s="12" r="H1012">
        <f>HYPERLINK("http://sofifa.com/en/fifa13winter/player/147793-cassio-ramos","Cássio")</f>
        <v>Cássio</v>
      </c>
      <c s="30" r="I1012">
        <v>78</v>
      </c>
      <c t="s" s="30" r="J1012">
        <v>106</v>
      </c>
      <c t="s" s="30" r="K1012">
        <v>176</v>
      </c>
      <c t="s" s="30" r="L1012">
        <v>233</v>
      </c>
      <c s="30" r="M1012">
        <v>25</v>
      </c>
      <c s="26" r="N1012">
        <v>5.4</v>
      </c>
      <c s="23" r="O1012">
        <v>0.019</v>
      </c>
      <c s="7" r="P1012"/>
      <c s="7" r="Q1012"/>
      <c s="7" r="R1012">
        <f>IF((P1012&gt;0),O1012,0)</f>
        <v>0</v>
      </c>
      <c t="str" r="S1012">
        <f>CONCATENATE(F1012,E1012)</f>
        <v>NON FTLNON FTL</v>
      </c>
    </row>
    <row r="1013">
      <c t="s" s="7" r="A1013">
        <v>201</v>
      </c>
      <c s="7" r="B1013">
        <v>1040</v>
      </c>
      <c s="30" r="C1013">
        <v>2</v>
      </c>
      <c t="s" s="30" r="D1013">
        <v>109</v>
      </c>
      <c t="s" s="30" r="E1013">
        <v>4</v>
      </c>
      <c t="s" s="30" r="F1013">
        <v>4</v>
      </c>
      <c t="s" s="30" r="G1013">
        <v>232</v>
      </c>
      <c t="str" s="12" r="H1013">
        <f>HYPERLINK("http://sofifa.com/en/fifa13winter/player/144724-alessandro-mori-nunes","Alessandro")</f>
        <v>Alessandro</v>
      </c>
      <c s="30" r="I1013">
        <v>72</v>
      </c>
      <c t="s" s="30" r="J1013">
        <v>109</v>
      </c>
      <c t="s" s="30" r="K1013">
        <v>159</v>
      </c>
      <c t="s" s="30" r="L1013">
        <v>138</v>
      </c>
      <c s="30" r="M1013">
        <v>33</v>
      </c>
      <c s="26" r="N1013">
        <v>1.7</v>
      </c>
      <c s="23" r="O1013">
        <v>0.011</v>
      </c>
      <c s="7" r="P1013"/>
      <c s="7" r="Q1013"/>
      <c s="7" r="R1013">
        <f>IF((P1013&gt;0),O1013,0)</f>
        <v>0</v>
      </c>
      <c t="str" r="S1013">
        <f>CONCATENATE(F1013,E1013)</f>
        <v>NON FTLNON FTL</v>
      </c>
    </row>
    <row r="1014">
      <c t="s" s="7" r="A1014">
        <v>201</v>
      </c>
      <c s="7" r="B1014">
        <v>1041</v>
      </c>
      <c s="30" r="C1014">
        <v>4</v>
      </c>
      <c t="s" s="30" r="D1014">
        <v>112</v>
      </c>
      <c t="s" s="30" r="E1014">
        <v>4</v>
      </c>
      <c t="s" s="30" r="F1014">
        <v>4</v>
      </c>
      <c t="s" s="30" r="G1014">
        <v>232</v>
      </c>
      <c t="str" s="12" r="H1014">
        <f>HYPERLINK("http://sofifa.com/en/fifa13winter/player/147799-carlos-gilberto-nascimento-silva","Gil")</f>
        <v>Gil</v>
      </c>
      <c s="30" r="I1014">
        <v>74</v>
      </c>
      <c t="s" s="30" r="J1014">
        <v>113</v>
      </c>
      <c t="s" s="30" r="K1014">
        <v>134</v>
      </c>
      <c t="s" s="30" r="L1014">
        <v>156</v>
      </c>
      <c s="30" r="M1014">
        <v>25</v>
      </c>
      <c s="26" r="N1014">
        <v>3.4</v>
      </c>
      <c s="23" r="O1014">
        <v>0.011</v>
      </c>
      <c s="7" r="P1014"/>
      <c s="7" r="Q1014"/>
      <c s="7" r="R1014">
        <f>IF((P1014&gt;0),O1014,0)</f>
        <v>0</v>
      </c>
      <c t="str" r="S1014">
        <f>CONCATENATE(F1014,E1014)</f>
        <v>NON FTLNON FTL</v>
      </c>
    </row>
    <row r="1015">
      <c t="s" s="7" r="A1015">
        <v>201</v>
      </c>
      <c s="7" r="B1015">
        <v>1042</v>
      </c>
      <c s="30" r="C1015">
        <v>13</v>
      </c>
      <c t="s" s="30" r="D1015">
        <v>116</v>
      </c>
      <c t="s" s="30" r="E1015">
        <v>4</v>
      </c>
      <c t="s" s="30" r="F1015">
        <v>4</v>
      </c>
      <c t="s" s="30" r="G1015">
        <v>232</v>
      </c>
      <c t="str" s="12" r="H1015">
        <f>HYPERLINK("http://sofifa.com/en/fifa13winter/player/146407-paulo-andre-cren-benini","Paulo André")</f>
        <v>Paulo André</v>
      </c>
      <c s="30" r="I1015">
        <v>75</v>
      </c>
      <c t="s" s="30" r="J1015">
        <v>113</v>
      </c>
      <c t="s" s="30" r="K1015">
        <v>169</v>
      </c>
      <c t="s" s="30" r="L1015">
        <v>193</v>
      </c>
      <c s="30" r="M1015">
        <v>29</v>
      </c>
      <c s="26" r="N1015">
        <v>3.7</v>
      </c>
      <c s="23" r="O1015">
        <v>0.014</v>
      </c>
      <c s="7" r="P1015"/>
      <c s="7" r="Q1015"/>
      <c s="7" r="R1015">
        <f>IF((P1015&gt;0),O1015,0)</f>
        <v>0</v>
      </c>
      <c t="str" r="S1015">
        <f>CONCATENATE(F1015,E1015)</f>
        <v>NON FTLNON FTL</v>
      </c>
    </row>
    <row r="1016">
      <c t="s" s="7" r="A1016">
        <v>201</v>
      </c>
      <c s="7" r="B1016">
        <v>1043</v>
      </c>
      <c s="30" r="C1016">
        <v>6</v>
      </c>
      <c t="s" s="30" r="D1016">
        <v>117</v>
      </c>
      <c t="s" s="30" r="E1016">
        <v>4</v>
      </c>
      <c t="s" s="30" r="F1016">
        <v>4</v>
      </c>
      <c t="s" s="30" r="G1016">
        <v>232</v>
      </c>
      <c t="str" s="12" r="H1016">
        <f>HYPERLINK("http://sofifa.com/en/fifa13winter/player/147165-fabio-santos-romeu","Fábio Santos")</f>
        <v>Fábio Santos</v>
      </c>
      <c s="30" r="I1016">
        <v>71</v>
      </c>
      <c t="s" s="30" r="J1016">
        <v>117</v>
      </c>
      <c t="s" s="30" r="K1016">
        <v>145</v>
      </c>
      <c t="s" s="30" r="L1016">
        <v>137</v>
      </c>
      <c s="30" r="M1016">
        <v>26</v>
      </c>
      <c s="26" r="N1016">
        <v>2</v>
      </c>
      <c s="23" r="O1016">
        <v>0.008</v>
      </c>
      <c s="7" r="P1016"/>
      <c s="7" r="Q1016"/>
      <c s="7" r="R1016">
        <f>IF((P1016&gt;0),O1016,0)</f>
        <v>0</v>
      </c>
      <c t="str" r="S1016">
        <f>CONCATENATE(F1016,E1016)</f>
        <v>NON FTLNON FTL</v>
      </c>
    </row>
    <row r="1017">
      <c t="s" s="7" r="A1017">
        <v>201</v>
      </c>
      <c s="7" r="B1017">
        <v>1044</v>
      </c>
      <c s="30" r="C1017">
        <v>8</v>
      </c>
      <c t="s" s="30" r="D1017">
        <v>186</v>
      </c>
      <c t="s" s="30" r="E1017">
        <v>4</v>
      </c>
      <c t="s" s="30" r="F1017">
        <v>4</v>
      </c>
      <c t="s" s="30" r="G1017">
        <v>232</v>
      </c>
      <c t="str" s="12" r="H1017">
        <f>HYPERLINK("http://sofifa.com/en/fifa13winter/player/148208-jose-paulo-bezerra-m-junior","Paulinho")</f>
        <v>Paulinho</v>
      </c>
      <c s="30" r="I1017">
        <v>80</v>
      </c>
      <c t="s" s="30" r="J1017">
        <v>154</v>
      </c>
      <c t="s" s="30" r="K1017">
        <v>114</v>
      </c>
      <c t="s" s="30" r="L1017">
        <v>138</v>
      </c>
      <c s="30" r="M1017">
        <v>24</v>
      </c>
      <c s="26" r="N1017">
        <v>9.7</v>
      </c>
      <c s="23" r="O1017">
        <v>0.03</v>
      </c>
      <c s="7" r="P1017"/>
      <c s="7" r="Q1017"/>
      <c s="7" r="R1017">
        <f>IF((P1017&gt;0),O1017,0)</f>
        <v>0</v>
      </c>
      <c t="str" r="S1017">
        <f>CONCATENATE(F1017,E1017)</f>
        <v>NON FTLNON FTL</v>
      </c>
    </row>
    <row r="1018">
      <c t="s" s="7" r="A1018">
        <v>201</v>
      </c>
      <c s="7" r="B1018">
        <v>1045</v>
      </c>
      <c s="30" r="C1018">
        <v>5</v>
      </c>
      <c t="s" s="30" r="D1018">
        <v>174</v>
      </c>
      <c t="s" s="30" r="E1018">
        <v>4</v>
      </c>
      <c t="s" s="30" r="F1018">
        <v>4</v>
      </c>
      <c t="s" s="30" r="G1018">
        <v>232</v>
      </c>
      <c t="str" s="12" r="H1018">
        <f>HYPERLINK("http://sofifa.com/en/fifa13winter/player/146701-ralf-de-souza-teles","Ralf")</f>
        <v>Ralf</v>
      </c>
      <c s="30" r="I1018">
        <v>76</v>
      </c>
      <c t="s" s="30" r="J1018">
        <v>154</v>
      </c>
      <c t="s" s="30" r="K1018">
        <v>114</v>
      </c>
      <c t="s" s="30" r="L1018">
        <v>119</v>
      </c>
      <c s="30" r="M1018">
        <v>28</v>
      </c>
      <c s="26" r="N1018">
        <v>4.4</v>
      </c>
      <c s="23" r="O1018">
        <v>0.015</v>
      </c>
      <c s="7" r="P1018"/>
      <c s="7" r="Q1018"/>
      <c s="7" r="R1018">
        <f>IF((P1018&gt;0),O1018,0)</f>
        <v>0</v>
      </c>
      <c t="str" r="S1018">
        <f>CONCATENATE(F1018,E1018)</f>
        <v>NON FTLNON FTL</v>
      </c>
    </row>
    <row r="1019">
      <c t="s" s="7" r="A1019">
        <v>201</v>
      </c>
      <c s="7" r="B1019">
        <v>1046</v>
      </c>
      <c s="30" r="C1019">
        <v>25</v>
      </c>
      <c t="s" s="30" r="D1019">
        <v>234</v>
      </c>
      <c t="s" s="30" r="E1019">
        <v>4</v>
      </c>
      <c t="s" s="30" r="F1019">
        <v>4</v>
      </c>
      <c t="s" s="30" r="G1019">
        <v>232</v>
      </c>
      <c t="str" s="12" r="H1019">
        <f>HYPERLINK("http://sofifa.com/en/fifa13winter/player/148040-renato-oliveira-augusto","Renato Augusto")</f>
        <v>Renato Augusto</v>
      </c>
      <c s="30" r="I1019">
        <v>80</v>
      </c>
      <c t="s" s="30" r="J1019">
        <v>162</v>
      </c>
      <c t="s" s="30" r="K1019">
        <v>173</v>
      </c>
      <c t="s" s="30" r="L1019">
        <v>178</v>
      </c>
      <c s="30" r="M1019">
        <v>24</v>
      </c>
      <c s="26" r="N1019">
        <v>11.3</v>
      </c>
      <c s="23" r="O1019">
        <v>0.03</v>
      </c>
      <c s="7" r="P1019"/>
      <c s="7" r="Q1019"/>
      <c s="7" r="R1019">
        <f>IF((P1019&gt;0),O1019,0)</f>
        <v>0</v>
      </c>
      <c t="str" r="S1019">
        <f>CONCATENATE(F1019,E1019)</f>
        <v>NON FTLNON FTL</v>
      </c>
    </row>
    <row r="1020">
      <c t="s" s="7" r="A1020">
        <v>201</v>
      </c>
      <c s="7" r="B1020">
        <v>1047</v>
      </c>
      <c s="30" r="C1020">
        <v>10</v>
      </c>
      <c t="s" s="30" r="D1020">
        <v>162</v>
      </c>
      <c t="s" s="30" r="E1020">
        <v>4</v>
      </c>
      <c t="s" s="30" r="F1020">
        <v>4</v>
      </c>
      <c t="s" s="30" r="G1020">
        <v>232</v>
      </c>
      <c t="str" s="12" r="H1020">
        <f>HYPERLINK("http://sofifa.com/en/fifa13winter/player/145859-douglas-dos-santos","Douglas")</f>
        <v>Douglas</v>
      </c>
      <c s="30" r="I1020">
        <v>76</v>
      </c>
      <c t="s" s="30" r="J1020">
        <v>162</v>
      </c>
      <c t="s" s="30" r="K1020">
        <v>139</v>
      </c>
      <c t="s" s="30" r="L1020">
        <v>146</v>
      </c>
      <c s="30" r="M1020">
        <v>30</v>
      </c>
      <c s="26" r="N1020">
        <v>4.8</v>
      </c>
      <c s="23" r="O1020">
        <v>0.017</v>
      </c>
      <c s="7" r="P1020"/>
      <c s="7" r="Q1020"/>
      <c s="7" r="R1020">
        <f>IF((P1020&gt;0),O1020,0)</f>
        <v>0</v>
      </c>
      <c t="str" r="S1020">
        <f>CONCATENATE(F1020,E1020)</f>
        <v>NON FTLNON FTL</v>
      </c>
    </row>
    <row r="1021">
      <c t="s" s="7" r="A1021">
        <v>201</v>
      </c>
      <c s="7" r="B1021">
        <v>1048</v>
      </c>
      <c s="30" r="C1021">
        <v>11</v>
      </c>
      <c t="s" s="30" r="D1021">
        <v>235</v>
      </c>
      <c t="s" s="30" r="E1021">
        <v>4</v>
      </c>
      <c t="s" s="30" r="F1021">
        <v>4</v>
      </c>
      <c t="s" s="30" r="G1021">
        <v>232</v>
      </c>
      <c t="str" s="12" r="H1021">
        <f>HYPERLINK("http://sofifa.com/en/fifa13winter/player/144598-marcio-p-de-albuquerque","Emerson")</f>
        <v>Emerson</v>
      </c>
      <c s="30" r="I1021">
        <v>77</v>
      </c>
      <c t="s" s="30" r="J1021">
        <v>129</v>
      </c>
      <c t="s" s="30" r="K1021">
        <v>195</v>
      </c>
      <c t="s" s="30" r="L1021">
        <v>111</v>
      </c>
      <c s="30" r="M1021">
        <v>33</v>
      </c>
      <c s="26" r="N1021">
        <v>4.7</v>
      </c>
      <c s="23" r="O1021">
        <v>0.021</v>
      </c>
      <c s="7" r="P1021"/>
      <c s="7" r="Q1021"/>
      <c s="7" r="R1021">
        <f>IF((P1021&gt;0),O1021,0)</f>
        <v>0</v>
      </c>
      <c t="str" r="S1021">
        <f>CONCATENATE(F1021,E1021)</f>
        <v>NON FTLNON FTL</v>
      </c>
    </row>
    <row r="1022">
      <c t="s" s="7" r="A1022">
        <v>201</v>
      </c>
      <c s="7" r="B1022">
        <v>1049</v>
      </c>
      <c s="30" r="C1022">
        <v>7</v>
      </c>
      <c t="s" s="30" r="D1022">
        <v>129</v>
      </c>
      <c t="s" s="30" r="E1022">
        <v>4</v>
      </c>
      <c t="s" s="30" r="F1022">
        <v>4</v>
      </c>
      <c t="s" s="30" r="G1022">
        <v>232</v>
      </c>
      <c t="str" s="12" r="H1022">
        <f>HYPERLINK("http://sofifa.com/en/fifa13winter/player/148612-alexandre-rodrigues-da-silva","Alexandre Pato")</f>
        <v>Alexandre Pato</v>
      </c>
      <c s="30" r="I1022">
        <v>81</v>
      </c>
      <c t="s" s="30" r="J1022">
        <v>129</v>
      </c>
      <c t="s" s="30" r="K1022">
        <v>145</v>
      </c>
      <c t="s" s="30" r="L1022">
        <v>161</v>
      </c>
      <c s="30" r="M1022">
        <v>22</v>
      </c>
      <c s="26" r="N1022">
        <v>14.8</v>
      </c>
      <c s="23" r="O1022">
        <v>0.037</v>
      </c>
      <c s="7" r="P1022"/>
      <c s="7" r="Q1022"/>
      <c s="7" r="R1022">
        <f>IF((P1022&gt;0),O1022,0)</f>
        <v>0</v>
      </c>
      <c t="str" r="S1022">
        <f>CONCATENATE(F1022,E1022)</f>
        <v>NON FTLNON FTL</v>
      </c>
    </row>
    <row r="1023">
      <c t="s" s="7" r="A1023">
        <v>201</v>
      </c>
      <c s="7" r="B1023">
        <v>1050</v>
      </c>
      <c s="30" r="C1023">
        <v>35</v>
      </c>
      <c t="s" s="30" r="D1023">
        <v>136</v>
      </c>
      <c t="s" s="30" r="E1023">
        <v>4</v>
      </c>
      <c t="s" s="30" r="F1023">
        <v>4</v>
      </c>
      <c t="s" s="30" r="G1023">
        <v>232</v>
      </c>
      <c t="str" s="12" r="H1023">
        <f>HYPERLINK("http://sofifa.com/en/fifa13winter/player/149078-renan-soares-reuter","Renan")</f>
        <v>Renan</v>
      </c>
      <c s="30" r="I1023">
        <v>67</v>
      </c>
      <c t="s" s="30" r="J1023">
        <v>106</v>
      </c>
      <c t="s" s="30" r="K1023">
        <v>144</v>
      </c>
      <c t="s" s="30" r="L1023">
        <v>161</v>
      </c>
      <c s="30" r="M1023">
        <v>21</v>
      </c>
      <c s="26" r="N1023">
        <v>1.2</v>
      </c>
      <c s="23" r="O1023">
        <v>0.005</v>
      </c>
      <c s="7" r="P1023"/>
      <c s="7" r="Q1023"/>
      <c s="7" r="R1023">
        <f>IF((P1023&gt;0),O1023,0)</f>
        <v>0</v>
      </c>
      <c t="str" r="S1023">
        <f>CONCATENATE(F1023,E1023)</f>
        <v>NON FTLNON FTL</v>
      </c>
    </row>
    <row r="1024">
      <c t="s" s="7" r="A1024">
        <v>201</v>
      </c>
      <c s="7" r="B1024">
        <v>1051</v>
      </c>
      <c s="30" r="C1024">
        <v>21</v>
      </c>
      <c t="s" s="30" r="D1024">
        <v>136</v>
      </c>
      <c t="s" s="30" r="E1024">
        <v>4</v>
      </c>
      <c t="s" s="30" r="F1024">
        <v>4</v>
      </c>
      <c t="s" s="30" r="G1024">
        <v>232</v>
      </c>
      <c t="str" s="12" r="H1024">
        <f>HYPERLINK("http://sofifa.com/en/fifa13winter/player/148719-edenilson-andrade-dos-santos","Edenílson")</f>
        <v>Edenílson</v>
      </c>
      <c s="30" r="I1024">
        <v>71</v>
      </c>
      <c t="s" s="30" r="J1024">
        <v>124</v>
      </c>
      <c t="s" s="30" r="K1024">
        <v>139</v>
      </c>
      <c t="s" s="30" r="L1024">
        <v>168</v>
      </c>
      <c s="30" r="M1024">
        <v>22</v>
      </c>
      <c s="26" r="N1024">
        <v>2.3</v>
      </c>
      <c s="23" r="O1024">
        <v>0.007</v>
      </c>
      <c s="7" r="P1024"/>
      <c s="7" r="Q1024"/>
      <c s="7" r="R1024">
        <f>IF((P1024&gt;0),O1024,0)</f>
        <v>0</v>
      </c>
      <c t="str" r="S1024">
        <f>CONCATENATE(F1024,E1024)</f>
        <v>NON FTLNON FTL</v>
      </c>
    </row>
    <row r="1025">
      <c t="s" s="7" r="A1025">
        <v>201</v>
      </c>
      <c s="7" r="B1025">
        <v>1052</v>
      </c>
      <c s="30" r="C1025">
        <v>15</v>
      </c>
      <c t="s" s="30" r="D1025">
        <v>136</v>
      </c>
      <c t="s" s="30" r="E1025">
        <v>4</v>
      </c>
      <c t="s" s="30" r="F1025">
        <v>4</v>
      </c>
      <c t="s" s="30" r="G1025">
        <v>232</v>
      </c>
      <c t="str" s="12" r="H1025">
        <f>HYPERLINK("http://sofifa.com/en/fifa13winter/player/148398-guilherme-andrade-silva","Guilherme Andrade")</f>
        <v>Guilherme Andrade</v>
      </c>
      <c s="30" r="I1025">
        <v>69</v>
      </c>
      <c t="s" s="30" r="J1025">
        <v>109</v>
      </c>
      <c t="s" s="30" r="K1025">
        <v>114</v>
      </c>
      <c t="s" s="30" r="L1025">
        <v>151</v>
      </c>
      <c s="30" r="M1025">
        <v>23</v>
      </c>
      <c s="26" r="N1025">
        <v>1.7</v>
      </c>
      <c s="23" r="O1025">
        <v>0.006</v>
      </c>
      <c s="7" r="P1025"/>
      <c s="7" r="Q1025"/>
      <c s="7" r="R1025">
        <f>IF((P1025&gt;0),O1025,0)</f>
        <v>0</v>
      </c>
      <c t="str" r="S1025">
        <f>CONCATENATE(F1025,E1025)</f>
        <v>NON FTLNON FTL</v>
      </c>
    </row>
    <row r="1026">
      <c t="s" s="7" r="A1026">
        <v>201</v>
      </c>
      <c s="7" r="B1026">
        <v>1053</v>
      </c>
      <c s="30" r="C1026">
        <v>19</v>
      </c>
      <c t="s" s="30" r="D1026">
        <v>136</v>
      </c>
      <c t="s" s="30" r="E1026">
        <v>4</v>
      </c>
      <c t="s" s="30" r="F1026">
        <v>4</v>
      </c>
      <c t="s" s="30" r="G1026">
        <v>232</v>
      </c>
      <c t="str" s="12" r="H1026">
        <f>HYPERLINK("http://sofifa.com/en/fifa13winter/player/149192-guilherme-dos-santos-torres","Guilherme")</f>
        <v>Guilherme</v>
      </c>
      <c s="30" r="I1026">
        <v>72</v>
      </c>
      <c t="s" s="30" r="J1026">
        <v>154</v>
      </c>
      <c t="s" s="30" r="K1026">
        <v>118</v>
      </c>
      <c t="s" s="30" r="L1026">
        <v>161</v>
      </c>
      <c s="30" r="M1026">
        <v>21</v>
      </c>
      <c s="26" r="N1026">
        <v>2.7</v>
      </c>
      <c s="23" r="O1026">
        <v>0.008</v>
      </c>
      <c s="7" r="P1026"/>
      <c s="7" r="Q1026"/>
      <c s="7" r="R1026">
        <f>IF((P1026&gt;0),O1026,0)</f>
        <v>0</v>
      </c>
      <c t="str" r="S1026">
        <f>CONCATENATE(F1026,E1026)</f>
        <v>NON FTLNON FTL</v>
      </c>
    </row>
    <row r="1027">
      <c t="s" s="7" r="A1027">
        <v>201</v>
      </c>
      <c s="7" r="B1027">
        <v>1054</v>
      </c>
      <c s="30" r="C1027">
        <v>31</v>
      </c>
      <c t="s" s="30" r="D1027">
        <v>136</v>
      </c>
      <c t="s" s="30" r="E1027">
        <v>4</v>
      </c>
      <c t="s" s="30" r="F1027">
        <v>4</v>
      </c>
      <c t="s" s="30" r="G1027">
        <v>232</v>
      </c>
      <c t="str" s="12" r="H1027">
        <f>HYPERLINK("http://sofifa.com/en/fifa13winter/player/149078-romario-ricardo-da-silva","Romarinho")</f>
        <v>Romarinho</v>
      </c>
      <c s="30" r="I1027">
        <v>71</v>
      </c>
      <c t="s" s="30" r="J1027">
        <v>129</v>
      </c>
      <c t="s" s="30" r="K1027">
        <v>172</v>
      </c>
      <c t="s" s="30" r="L1027">
        <v>115</v>
      </c>
      <c s="30" r="M1027">
        <v>21</v>
      </c>
      <c s="26" r="N1027">
        <v>2.9</v>
      </c>
      <c s="23" r="O1027">
        <v>0.007</v>
      </c>
      <c s="7" r="P1027"/>
      <c s="7" r="Q1027"/>
      <c s="7" r="R1027">
        <f>IF((P1027&gt;0),O1027,0)</f>
        <v>0</v>
      </c>
      <c t="str" r="S1027">
        <f>CONCATENATE(F1027,E1027)</f>
        <v>NON FTLNON FTL</v>
      </c>
    </row>
    <row r="1028">
      <c t="s" s="7" r="A1028">
        <v>201</v>
      </c>
      <c s="7" r="B1028">
        <v>1055</v>
      </c>
      <c s="30" r="C1028">
        <v>14</v>
      </c>
      <c t="s" s="30" r="D1028">
        <v>136</v>
      </c>
      <c t="s" s="30" r="E1028">
        <v>4</v>
      </c>
      <c t="s" s="30" r="F1028">
        <v>4</v>
      </c>
      <c t="s" s="30" r="G1028">
        <v>232</v>
      </c>
      <c t="str" s="12" r="H1028">
        <f>HYPERLINK("http://sofifa.com/en/fifa13winter/player/145082-claudio-maldonado","C. Maldonado")</f>
        <v>C. Maldonado</v>
      </c>
      <c s="30" r="I1028">
        <v>72</v>
      </c>
      <c t="s" s="30" r="J1028">
        <v>154</v>
      </c>
      <c t="s" s="30" r="K1028">
        <v>182</v>
      </c>
      <c t="s" s="30" r="L1028">
        <v>160</v>
      </c>
      <c s="30" r="M1028">
        <v>32</v>
      </c>
      <c s="26" r="N1028">
        <v>1.8</v>
      </c>
      <c s="23" r="O1028">
        <v>0.011</v>
      </c>
      <c s="7" r="P1028"/>
      <c s="7" r="Q1028"/>
      <c s="7" r="R1028">
        <f>IF((P1028&gt;0),O1028,0)</f>
        <v>0</v>
      </c>
      <c t="str" r="S1028">
        <f>CONCATENATE(F1028,E1028)</f>
        <v>NON FTLNON FTL</v>
      </c>
    </row>
    <row r="1029">
      <c t="s" s="7" r="A1029">
        <v>201</v>
      </c>
      <c s="7" r="B1029">
        <v>1056</v>
      </c>
      <c s="30" r="C1029">
        <v>22</v>
      </c>
      <c t="s" s="30" r="D1029">
        <v>136</v>
      </c>
      <c t="s" s="30" r="E1029">
        <v>4</v>
      </c>
      <c t="s" s="30" r="F1029">
        <v>4</v>
      </c>
      <c t="s" s="30" r="G1029">
        <v>232</v>
      </c>
      <c t="str" s="12" r="H1029">
        <f>HYPERLINK("http://sofifa.com/en/fifa13winter/player/148095-danilo-fernandes-batista","Danilo Fernandes")</f>
        <v>Danilo Fernandes</v>
      </c>
      <c s="30" r="I1029">
        <v>69</v>
      </c>
      <c t="s" s="30" r="J1029">
        <v>106</v>
      </c>
      <c t="s" s="30" r="K1029">
        <v>134</v>
      </c>
      <c t="s" s="30" r="L1029">
        <v>175</v>
      </c>
      <c s="30" r="M1029">
        <v>24</v>
      </c>
      <c s="26" r="N1029">
        <v>1.5</v>
      </c>
      <c s="23" r="O1029">
        <v>0.007</v>
      </c>
      <c s="7" r="P1029"/>
      <c s="7" r="Q1029"/>
      <c s="7" r="R1029">
        <f>IF((P1029&gt;0),O1029,0)</f>
        <v>0</v>
      </c>
      <c t="str" r="S1029">
        <f>CONCATENATE(F1029,E1029)</f>
        <v>NON FTLNON FTL</v>
      </c>
    </row>
    <row r="1030">
      <c t="s" s="7" r="A1030">
        <v>201</v>
      </c>
      <c s="7" r="B1030">
        <v>1057</v>
      </c>
      <c s="30" r="C1030">
        <v>3</v>
      </c>
      <c t="s" s="30" r="D1030">
        <v>136</v>
      </c>
      <c t="s" s="30" r="E1030">
        <v>4</v>
      </c>
      <c t="s" s="30" r="F1030">
        <v>4</v>
      </c>
      <c t="s" s="30" r="G1030">
        <v>232</v>
      </c>
      <c t="str" s="12" r="H1030">
        <f>HYPERLINK("http://sofifa.com/en/fifa13winter/player/145599-anderson-sebastiao-cardoso","Chicão")</f>
        <v>Chicão</v>
      </c>
      <c s="30" r="I1030">
        <v>75</v>
      </c>
      <c t="s" s="30" r="J1030">
        <v>113</v>
      </c>
      <c t="s" s="30" r="K1030">
        <v>114</v>
      </c>
      <c t="s" s="30" r="L1030">
        <v>108</v>
      </c>
      <c s="30" r="M1030">
        <v>31</v>
      </c>
      <c s="26" r="N1030">
        <v>3.3</v>
      </c>
      <c s="23" r="O1030">
        <v>0.015</v>
      </c>
      <c s="7" r="P1030"/>
      <c s="7" r="Q1030"/>
      <c s="7" r="R1030">
        <f>IF((P1030&gt;0),O1030,0)</f>
        <v>0</v>
      </c>
      <c t="str" r="S1030">
        <f>CONCATENATE(F1030,E1030)</f>
        <v>NON FTLNON FTL</v>
      </c>
    </row>
    <row r="1031">
      <c t="s" s="7" r="A1031">
        <v>201</v>
      </c>
      <c s="7" r="B1031">
        <v>1058</v>
      </c>
      <c s="30" r="C1031">
        <v>9</v>
      </c>
      <c t="s" s="30" r="D1031">
        <v>136</v>
      </c>
      <c t="s" s="30" r="E1031">
        <v>4</v>
      </c>
      <c t="s" s="30" r="F1031">
        <v>4</v>
      </c>
      <c t="s" s="30" r="G1031">
        <v>232</v>
      </c>
      <c t="str" s="12" r="H1031">
        <f>HYPERLINK("http://sofifa.com/en/fifa13winter/player/146541-paolo-guerrero","P. Guerrero")</f>
        <v>P. Guerrero</v>
      </c>
      <c s="30" r="I1031">
        <v>78</v>
      </c>
      <c t="s" s="30" r="J1031">
        <v>129</v>
      </c>
      <c t="s" s="30" r="K1031">
        <v>132</v>
      </c>
      <c t="s" s="30" r="L1031">
        <v>193</v>
      </c>
      <c s="30" r="M1031">
        <v>28</v>
      </c>
      <c s="26" r="N1031">
        <v>7.3</v>
      </c>
      <c s="23" r="O1031">
        <v>0.02</v>
      </c>
      <c s="7" r="P1031"/>
      <c s="7" r="Q1031"/>
      <c s="7" r="R1031">
        <f>IF((P1031&gt;0),O1031,0)</f>
        <v>0</v>
      </c>
      <c t="str" r="S1031">
        <f>CONCATENATE(F1031,E1031)</f>
        <v>NON FTLNON FTL</v>
      </c>
    </row>
    <row r="1032">
      <c t="s" s="7" r="A1032">
        <v>201</v>
      </c>
      <c s="7" r="B1032">
        <v>1059</v>
      </c>
      <c s="30" r="C1032">
        <v>20</v>
      </c>
      <c t="s" s="30" r="D1032">
        <v>136</v>
      </c>
      <c t="s" s="30" r="E1032">
        <v>4</v>
      </c>
      <c t="s" s="30" r="F1032">
        <v>4</v>
      </c>
      <c t="s" s="30" r="G1032">
        <v>232</v>
      </c>
      <c t="str" s="12" r="H1032">
        <f>HYPERLINK("http://sofifa.com/en/fifa13winter/player/144876-danilo-gabriel-de-andrade","Danilo")</f>
        <v>Danilo</v>
      </c>
      <c s="30" r="I1032">
        <v>77</v>
      </c>
      <c t="s" s="30" r="J1032">
        <v>162</v>
      </c>
      <c t="s" s="30" r="K1032">
        <v>173</v>
      </c>
      <c t="s" s="30" r="L1032">
        <v>153</v>
      </c>
      <c s="30" r="M1032">
        <v>33</v>
      </c>
      <c s="26" r="N1032">
        <v>4.5</v>
      </c>
      <c s="23" r="O1032">
        <v>0.021</v>
      </c>
      <c s="7" r="P1032"/>
      <c s="7" r="Q1032"/>
      <c s="7" r="R1032">
        <f>IF((P1032&gt;0),O1032,0)</f>
        <v>0</v>
      </c>
      <c t="str" r="S1032">
        <f>CONCATENATE(F1032,E1032)</f>
        <v>NON FTLNON FTL</v>
      </c>
    </row>
    <row r="1033">
      <c t="s" s="7" r="A1033">
        <v>201</v>
      </c>
      <c s="7" r="B1033">
        <v>1060</v>
      </c>
      <c s="30" r="C1033">
        <v>1</v>
      </c>
      <c t="s" s="30" r="D1033">
        <v>136</v>
      </c>
      <c t="s" s="30" r="E1033">
        <v>4</v>
      </c>
      <c t="s" s="30" r="F1033">
        <v>4</v>
      </c>
      <c t="s" s="30" r="G1033">
        <v>232</v>
      </c>
      <c t="str" s="12" r="H1033">
        <f>HYPERLINK("http://sofifa.com/en/fifa13winter/player/146841-julio-cesar-de-souza-santos","Júlio César")</f>
        <v>Júlio César</v>
      </c>
      <c s="30" r="I1033">
        <v>71</v>
      </c>
      <c t="s" s="30" r="J1033">
        <v>106</v>
      </c>
      <c t="s" s="30" r="K1033">
        <v>173</v>
      </c>
      <c t="s" s="30" r="L1033">
        <v>193</v>
      </c>
      <c s="30" r="M1033">
        <v>27</v>
      </c>
      <c s="26" r="N1033">
        <v>1.8</v>
      </c>
      <c s="23" r="O1033">
        <v>0.008</v>
      </c>
      <c s="7" r="P1033"/>
      <c s="7" r="Q1033"/>
      <c s="7" r="R1033">
        <f>IF((P1033&gt;0),O1033,0)</f>
        <v>0</v>
      </c>
      <c t="str" r="S1033">
        <f>CONCATENATE(F1033,E1033)</f>
        <v>NON FTLNON FTL</v>
      </c>
    </row>
    <row r="1034">
      <c t="s" s="7" r="A1034">
        <v>201</v>
      </c>
      <c s="7" r="B1034">
        <v>1061</v>
      </c>
      <c s="30" r="C1034">
        <v>34</v>
      </c>
      <c t="s" s="30" r="D1034">
        <v>136</v>
      </c>
      <c t="s" s="30" r="E1034">
        <v>4</v>
      </c>
      <c t="s" s="30" r="F1034">
        <v>4</v>
      </c>
      <c t="s" s="30" r="G1034">
        <v>232</v>
      </c>
      <c t="str" s="12" r="H1034">
        <f>HYPERLINK("http://sofifa.com/en/fifa13winter/player/146486-ibson-barreto-da-silva","Ibson")</f>
        <v>Ibson</v>
      </c>
      <c s="30" r="I1034">
        <v>74</v>
      </c>
      <c t="s" s="30" r="J1034">
        <v>124</v>
      </c>
      <c t="s" s="30" r="K1034">
        <v>159</v>
      </c>
      <c t="s" s="30" r="L1034">
        <v>160</v>
      </c>
      <c s="30" r="M1034">
        <v>28</v>
      </c>
      <c s="26" r="N1034">
        <v>3.2</v>
      </c>
      <c s="23" r="O1034">
        <v>0.011</v>
      </c>
      <c s="7" r="P1034"/>
      <c s="7" r="Q1034"/>
      <c s="7" r="R1034">
        <f>IF((P1034&gt;0),O1034,0)</f>
        <v>0</v>
      </c>
      <c t="str" r="S1034">
        <f>CONCATENATE(F1034,E1034)</f>
        <v>NON FTLNON FTL</v>
      </c>
    </row>
    <row r="1035">
      <c t="s" s="7" r="A1035">
        <v>201</v>
      </c>
      <c s="7" r="B1035">
        <v>1062</v>
      </c>
      <c s="30" r="C1035">
        <v>24</v>
      </c>
      <c t="s" s="30" r="D1035">
        <v>147</v>
      </c>
      <c t="s" s="30" r="E1035">
        <v>4</v>
      </c>
      <c t="s" s="30" r="F1035">
        <v>4</v>
      </c>
      <c t="s" s="30" r="G1035">
        <v>232</v>
      </c>
      <c t="str" s="12" r="H1035">
        <f>HYPERLINK("http://sofifa.com/en/fifa13winter/player/149880-matheus-cotulio-bossa","Matheus")</f>
        <v>Matheus</v>
      </c>
      <c s="30" r="I1035">
        <v>66</v>
      </c>
      <c t="s" s="30" r="J1035">
        <v>162</v>
      </c>
      <c t="s" s="30" r="K1035">
        <v>195</v>
      </c>
      <c t="s" s="30" r="L1035">
        <v>140</v>
      </c>
      <c s="30" r="M1035">
        <v>19</v>
      </c>
      <c s="26" r="N1035">
        <v>1.5</v>
      </c>
      <c s="23" r="O1035">
        <v>0.004</v>
      </c>
      <c s="7" r="P1035"/>
      <c s="7" r="Q1035"/>
      <c s="7" r="R1035">
        <f>IF((P1035&gt;0),O1035,0)</f>
        <v>0</v>
      </c>
      <c t="str" r="S1035">
        <f>CONCATENATE(F1035,E1035)</f>
        <v>NON FTLNON FTL</v>
      </c>
    </row>
    <row r="1036">
      <c t="s" s="7" r="A1036">
        <v>201</v>
      </c>
      <c s="7" r="B1036">
        <v>1063</v>
      </c>
      <c s="30" r="C1036">
        <v>17</v>
      </c>
      <c t="s" s="30" r="D1036">
        <v>147</v>
      </c>
      <c t="s" s="30" r="E1036">
        <v>4</v>
      </c>
      <c t="s" s="30" r="F1036">
        <v>4</v>
      </c>
      <c t="s" s="30" r="G1036">
        <v>232</v>
      </c>
      <c t="str" s="12" r="H1036">
        <f>HYPERLINK("http://sofifa.com/en/fifa13winter/player/149534-willian-souza-arao-da-silva","Willian Arão")</f>
        <v>Willian Arão</v>
      </c>
      <c s="30" r="I1036">
        <v>66</v>
      </c>
      <c t="s" s="30" r="J1036">
        <v>154</v>
      </c>
      <c t="s" s="30" r="K1036">
        <v>150</v>
      </c>
      <c t="s" s="30" r="L1036">
        <v>160</v>
      </c>
      <c s="30" r="M1036">
        <v>20</v>
      </c>
      <c s="26" r="N1036">
        <v>1.2</v>
      </c>
      <c s="23" r="O1036">
        <v>0.004</v>
      </c>
      <c s="7" r="P1036"/>
      <c s="7" r="Q1036"/>
      <c s="7" r="R1036">
        <f>IF((P1036&gt;0),O1036,0)</f>
        <v>0</v>
      </c>
      <c t="str" r="S1036">
        <f>CONCATENATE(F1036,E1036)</f>
        <v>NON FTLNON FTL</v>
      </c>
    </row>
    <row r="1037">
      <c t="s" s="7" r="A1037">
        <v>201</v>
      </c>
      <c s="7" r="B1037">
        <v>1064</v>
      </c>
      <c s="30" r="C1037">
        <v>28</v>
      </c>
      <c t="s" s="30" r="D1037">
        <v>147</v>
      </c>
      <c t="s" s="30" r="E1037">
        <v>4</v>
      </c>
      <c t="s" s="30" r="F1037">
        <v>4</v>
      </c>
      <c t="s" s="30" r="G1037">
        <v>232</v>
      </c>
      <c t="str" s="12" r="H1037">
        <f>HYPERLINK("http://sofifa.com/en/fifa13winter/player/148503-felipe-augusto-de-almeida-monteiro","Felipe")</f>
        <v>Felipe</v>
      </c>
      <c s="30" r="I1037">
        <v>66</v>
      </c>
      <c t="s" s="30" r="J1037">
        <v>113</v>
      </c>
      <c t="s" s="30" r="K1037">
        <v>132</v>
      </c>
      <c t="s" s="30" r="L1037">
        <v>138</v>
      </c>
      <c s="30" r="M1037">
        <v>23</v>
      </c>
      <c s="26" r="N1037">
        <v>1.3</v>
      </c>
      <c s="23" r="O1037">
        <v>0.005</v>
      </c>
      <c s="7" r="P1037"/>
      <c s="7" r="Q1037"/>
      <c s="7" r="R1037">
        <f>IF((P1037&gt;0),O1037,0)</f>
        <v>0</v>
      </c>
      <c t="str" r="S1037">
        <f>CONCATENATE(F1037,E1037)</f>
        <v>NON FTLNON FTL</v>
      </c>
    </row>
    <row r="1038">
      <c t="s" s="7" r="A1038">
        <v>201</v>
      </c>
      <c s="7" r="B1038">
        <v>1065</v>
      </c>
      <c s="30" r="C1038">
        <v>18</v>
      </c>
      <c t="s" s="30" r="D1038">
        <v>147</v>
      </c>
      <c t="s" s="30" r="E1038">
        <v>4</v>
      </c>
      <c t="s" s="30" r="F1038">
        <v>4</v>
      </c>
      <c t="s" s="30" r="G1038">
        <v>232</v>
      </c>
      <c t="str" s="12" r="H1038">
        <f>HYPERLINK("http://sofifa.com/en/fifa13winter/player/148075-chen-zhi-zhao","Zizao")</f>
        <v>Zizao</v>
      </c>
      <c s="30" r="I1038">
        <v>63</v>
      </c>
      <c t="s" s="30" r="J1038">
        <v>162</v>
      </c>
      <c t="s" s="30" r="K1038">
        <v>187</v>
      </c>
      <c t="s" s="30" r="L1038">
        <v>140</v>
      </c>
      <c s="30" r="M1038">
        <v>24</v>
      </c>
      <c s="26" r="N1038">
        <v>0.9</v>
      </c>
      <c s="23" r="O1038">
        <v>0.004</v>
      </c>
      <c s="7" r="P1038"/>
      <c s="7" r="Q1038"/>
      <c s="7" r="R1038">
        <f>IF((P1038&gt;0),O1038,0)</f>
        <v>0</v>
      </c>
      <c t="str" r="S1038">
        <f>CONCATENATE(F1038,E1038)</f>
        <v>NON FTLNON FTL</v>
      </c>
    </row>
    <row r="1039">
      <c t="s" s="7" r="A1039">
        <v>201</v>
      </c>
      <c s="7" r="B1039">
        <v>1066</v>
      </c>
      <c s="30" r="C1039">
        <v>37</v>
      </c>
      <c t="s" s="30" r="D1039">
        <v>147</v>
      </c>
      <c t="s" s="30" r="E1039">
        <v>4</v>
      </c>
      <c t="s" s="30" r="F1039">
        <v>4</v>
      </c>
      <c t="s" s="30" r="G1039">
        <v>232</v>
      </c>
      <c t="str" s="12" r="H1039">
        <f>HYPERLINK("http://sofifa.com/en/fifa13winter/player/149510-luis-otavio-bonilha-de-oliveira","Nenê Bonilha")</f>
        <v>Nenê Bonilha</v>
      </c>
      <c s="30" r="I1039">
        <v>66</v>
      </c>
      <c t="s" s="30" r="J1039">
        <v>124</v>
      </c>
      <c t="s" s="30" r="K1039">
        <v>139</v>
      </c>
      <c t="s" s="30" r="L1039">
        <v>122</v>
      </c>
      <c s="30" r="M1039">
        <v>20</v>
      </c>
      <c s="26" r="N1039">
        <v>1.3</v>
      </c>
      <c s="23" r="O1039">
        <v>0.004</v>
      </c>
      <c s="7" r="P1039"/>
      <c s="7" r="Q1039"/>
      <c s="7" r="R1039">
        <f>IF((P1039&gt;0),O1039,0)</f>
        <v>0</v>
      </c>
      <c t="str" r="S1039">
        <f>CONCATENATE(F1039,E1039)</f>
        <v>NON FTLNON FTL</v>
      </c>
    </row>
    <row r="1040">
      <c t="s" s="7" r="A1040">
        <v>201</v>
      </c>
      <c s="7" r="B1040">
        <v>1067</v>
      </c>
      <c s="30" r="C1040">
        <v>33</v>
      </c>
      <c t="s" s="30" r="D1040">
        <v>147</v>
      </c>
      <c t="s" s="30" r="E1040">
        <v>4</v>
      </c>
      <c t="s" s="30" r="F1040">
        <v>4</v>
      </c>
      <c t="s" s="30" r="G1040">
        <v>232</v>
      </c>
      <c t="str" s="12" r="H1040">
        <f>HYPERLINK("http://sofifa.com/en/fifa13winter/player/149308-andre-vinicius-lima-de-oliveira","André Vinícius")</f>
        <v>André Vinícius</v>
      </c>
      <c s="30" r="I1040">
        <v>64</v>
      </c>
      <c t="s" s="30" r="J1040">
        <v>113</v>
      </c>
      <c t="s" s="30" r="K1040">
        <v>169</v>
      </c>
      <c t="s" s="30" r="L1040">
        <v>193</v>
      </c>
      <c s="30" r="M1040">
        <v>21</v>
      </c>
      <c s="26" r="N1040">
        <v>0.9</v>
      </c>
      <c s="23" r="O1040">
        <v>0.004</v>
      </c>
      <c s="7" r="P1040"/>
      <c s="7" r="Q1040"/>
      <c s="7" r="R1040">
        <f>IF((P1040&gt;0),O1040,0)</f>
        <v>0</v>
      </c>
      <c t="str" r="S1040">
        <f>CONCATENATE(F1040,E1040)</f>
        <v>NON FTLNON FTL</v>
      </c>
    </row>
    <row r="1041">
      <c t="s" s="7" r="A1041">
        <v>201</v>
      </c>
      <c s="7" r="B1041">
        <v>1068</v>
      </c>
      <c s="30" r="C1041">
        <v>38</v>
      </c>
      <c t="s" s="30" r="D1041">
        <v>147</v>
      </c>
      <c t="s" s="30" r="E1041">
        <v>4</v>
      </c>
      <c t="s" s="30" r="F1041">
        <v>4</v>
      </c>
      <c t="s" s="30" r="G1041">
        <v>232</v>
      </c>
      <c t="str" s="12" r="H1041">
        <f>HYPERLINK("http://sofifa.com/en/fifa13winter/player/147958-walter-leandro-capeloza-artune","Walter")</f>
        <v>Walter</v>
      </c>
      <c s="30" r="I1041">
        <v>67</v>
      </c>
      <c t="s" s="30" r="J1041">
        <v>106</v>
      </c>
      <c t="s" s="30" r="K1041">
        <v>134</v>
      </c>
      <c t="s" s="30" r="L1041">
        <v>193</v>
      </c>
      <c s="30" r="M1041">
        <v>24</v>
      </c>
      <c s="26" r="N1041">
        <v>1.1</v>
      </c>
      <c s="23" r="O1041">
        <v>0.006</v>
      </c>
      <c s="7" r="P1041"/>
      <c s="7" r="Q1041"/>
      <c s="7" r="R1041">
        <f>IF((P1041&gt;0),O1041,0)</f>
        <v>0</v>
      </c>
      <c t="str" r="S1041">
        <f>CONCATENATE(F1041,E1041)</f>
        <v>NON FTLNON FTL</v>
      </c>
    </row>
    <row r="1042">
      <c t="s" s="7" r="A1042">
        <v>201</v>
      </c>
      <c s="7" r="B1042">
        <v>1069</v>
      </c>
      <c s="30" r="C1042">
        <v>1</v>
      </c>
      <c t="s" s="30" r="D1042">
        <v>106</v>
      </c>
      <c t="s" s="30" r="E1042">
        <v>4</v>
      </c>
      <c t="s" s="30" r="F1042">
        <v>4</v>
      </c>
      <c t="s" s="30" r="G1042">
        <v>236</v>
      </c>
      <c t="str" s="12" r="H1042">
        <f>HYPERLINK("http://sofifa.com/en/fifa13winter/player/146196-victor-leandro-bagy","Victor")</f>
        <v>Victor</v>
      </c>
      <c s="30" r="I1042">
        <v>79</v>
      </c>
      <c t="s" s="30" r="J1042">
        <v>106</v>
      </c>
      <c t="s" s="30" r="K1042">
        <v>107</v>
      </c>
      <c t="s" s="30" r="L1042">
        <v>156</v>
      </c>
      <c s="30" r="M1042">
        <v>29</v>
      </c>
      <c s="26" r="N1042">
        <v>5.4</v>
      </c>
      <c s="23" r="O1042">
        <v>0.024</v>
      </c>
      <c s="7" r="P1042"/>
      <c s="7" r="Q1042"/>
      <c s="7" r="R1042">
        <f>IF((P1042&gt;0),O1042,0)</f>
        <v>0</v>
      </c>
      <c t="str" r="S1042">
        <f>CONCATENATE(F1042,E1042)</f>
        <v>NON FTLNON FTL</v>
      </c>
    </row>
    <row r="1043">
      <c t="s" s="7" r="A1043">
        <v>201</v>
      </c>
      <c s="7" r="B1043">
        <v>1070</v>
      </c>
      <c s="30" r="C1043">
        <v>2</v>
      </c>
      <c t="s" s="30" r="D1043">
        <v>109</v>
      </c>
      <c t="s" s="30" r="E1043">
        <v>4</v>
      </c>
      <c t="s" s="30" r="F1043">
        <v>4</v>
      </c>
      <c t="s" s="30" r="G1043">
        <v>236</v>
      </c>
      <c t="str" s="12" r="H1043">
        <f>HYPERLINK("http://sofifa.com/en/fifa13winter/player/148347-marcos-luis-rocha-aquino","Marcos Rocha")</f>
        <v>Marcos Rocha</v>
      </c>
      <c s="30" r="I1043">
        <v>75</v>
      </c>
      <c t="s" s="30" r="J1043">
        <v>109</v>
      </c>
      <c t="s" s="30" r="K1043">
        <v>172</v>
      </c>
      <c t="s" s="30" r="L1043">
        <v>115</v>
      </c>
      <c s="30" r="M1043">
        <v>23</v>
      </c>
      <c s="26" r="N1043">
        <v>4.1</v>
      </c>
      <c s="23" r="O1043">
        <v>0.012</v>
      </c>
      <c s="7" r="P1043"/>
      <c s="7" r="Q1043"/>
      <c s="7" r="R1043">
        <f>IF((P1043&gt;0),O1043,0)</f>
        <v>0</v>
      </c>
      <c t="str" r="S1043">
        <f>CONCATENATE(F1043,E1043)</f>
        <v>NON FTLNON FTL</v>
      </c>
    </row>
    <row r="1044">
      <c t="s" s="7" r="A1044">
        <v>201</v>
      </c>
      <c s="7" r="B1044">
        <v>1071</v>
      </c>
      <c s="30" r="C1044">
        <v>3</v>
      </c>
      <c t="s" s="30" r="D1044">
        <v>112</v>
      </c>
      <c t="s" s="30" r="E1044">
        <v>4</v>
      </c>
      <c t="s" s="30" r="F1044">
        <v>4</v>
      </c>
      <c t="s" s="30" r="G1044">
        <v>236</v>
      </c>
      <c t="str" s="12" r="H1044">
        <f>HYPERLINK("http://sofifa.com/en/fifa13winter/player/144887-leonardo-da-silva-e-silva","Leonardo Silva")</f>
        <v>Leonardo Silva</v>
      </c>
      <c s="30" r="I1044">
        <v>77</v>
      </c>
      <c t="s" s="30" r="J1044">
        <v>113</v>
      </c>
      <c t="s" s="30" r="K1044">
        <v>165</v>
      </c>
      <c t="s" s="30" r="L1044">
        <v>153</v>
      </c>
      <c s="30" r="M1044">
        <v>33</v>
      </c>
      <c s="26" r="N1044">
        <v>3.9</v>
      </c>
      <c s="23" r="O1044">
        <v>0.021</v>
      </c>
      <c s="7" r="P1044"/>
      <c s="7" r="Q1044"/>
      <c s="7" r="R1044">
        <f>IF((P1044&gt;0),O1044,0)</f>
        <v>0</v>
      </c>
      <c t="str" r="S1044">
        <f>CONCATENATE(F1044,E1044)</f>
        <v>NON FTLNON FTL</v>
      </c>
    </row>
    <row r="1045">
      <c t="s" s="7" r="A1045">
        <v>201</v>
      </c>
      <c s="7" r="B1045">
        <v>1072</v>
      </c>
      <c s="30" r="C1045">
        <v>4</v>
      </c>
      <c t="s" s="30" r="D1045">
        <v>116</v>
      </c>
      <c t="s" s="30" r="E1045">
        <v>4</v>
      </c>
      <c t="s" s="30" r="F1045">
        <v>4</v>
      </c>
      <c t="s" s="30" r="G1045">
        <v>236</v>
      </c>
      <c t="str" s="12" r="H1045">
        <f>HYPERLINK("http://sofifa.com/en/fifa13winter/player/146910-rever-humberto-alves-araujo","Réver")</f>
        <v>Réver</v>
      </c>
      <c s="30" r="I1045">
        <v>80</v>
      </c>
      <c t="s" s="30" r="J1045">
        <v>113</v>
      </c>
      <c t="s" s="30" r="K1045">
        <v>107</v>
      </c>
      <c t="s" s="30" r="L1045">
        <v>156</v>
      </c>
      <c s="30" r="M1045">
        <v>27</v>
      </c>
      <c s="26" r="N1045">
        <v>9.3</v>
      </c>
      <c s="23" r="O1045">
        <v>0.03</v>
      </c>
      <c s="7" r="P1045"/>
      <c s="7" r="Q1045"/>
      <c s="7" r="R1045">
        <f>IF((P1045&gt;0),O1045,0)</f>
        <v>0</v>
      </c>
      <c t="str" r="S1045">
        <f>CONCATENATE(F1045,E1045)</f>
        <v>NON FTLNON FTL</v>
      </c>
    </row>
    <row r="1046">
      <c t="s" s="7" r="A1046">
        <v>201</v>
      </c>
      <c s="7" r="B1046">
        <v>1073</v>
      </c>
      <c s="30" r="C1046">
        <v>20</v>
      </c>
      <c t="s" s="30" r="D1046">
        <v>117</v>
      </c>
      <c t="s" s="30" r="E1046">
        <v>4</v>
      </c>
      <c t="s" s="30" r="F1046">
        <v>4</v>
      </c>
      <c t="s" s="30" r="G1046">
        <v>236</v>
      </c>
      <c t="str" s="12" r="H1046">
        <f>HYPERLINK("http://sofifa.com/en/fifa13winter/player/146171-richarlyson-barbosa-felisbino","Richarlyson")</f>
        <v>Richarlyson</v>
      </c>
      <c s="30" r="I1046">
        <v>73</v>
      </c>
      <c t="s" s="30" r="J1046">
        <v>154</v>
      </c>
      <c t="s" s="30" r="K1046">
        <v>172</v>
      </c>
      <c t="s" s="30" r="L1046">
        <v>146</v>
      </c>
      <c s="30" r="M1046">
        <v>29</v>
      </c>
      <c s="26" r="N1046">
        <v>2.5</v>
      </c>
      <c s="23" r="O1046">
        <v>0.011</v>
      </c>
      <c s="7" r="P1046"/>
      <c s="7" r="Q1046"/>
      <c s="7" r="R1046">
        <f>IF((P1046&gt;0),O1046,0)</f>
        <v>0</v>
      </c>
      <c t="str" r="S1046">
        <f>CONCATENATE(F1046,E1046)</f>
        <v>NON FTLNON FTL</v>
      </c>
    </row>
    <row r="1047">
      <c t="s" s="7" r="A1047">
        <v>201</v>
      </c>
      <c s="7" r="B1047">
        <v>1074</v>
      </c>
      <c s="30" r="C1047">
        <v>8</v>
      </c>
      <c t="s" s="30" r="D1047">
        <v>186</v>
      </c>
      <c t="s" s="30" r="E1047">
        <v>4</v>
      </c>
      <c t="s" s="30" r="F1047">
        <v>4</v>
      </c>
      <c t="s" s="30" r="G1047">
        <v>236</v>
      </c>
      <c t="str" s="12" r="H1047">
        <f>HYPERLINK("http://sofifa.com/en/fifa13winter/player/145948-leandro-donizete","Leandro Donizete")</f>
        <v>Leandro Donizete</v>
      </c>
      <c s="30" r="I1047">
        <v>72</v>
      </c>
      <c t="s" s="30" r="J1047">
        <v>154</v>
      </c>
      <c t="s" s="30" r="K1047">
        <v>139</v>
      </c>
      <c t="s" s="30" r="L1047">
        <v>122</v>
      </c>
      <c s="30" r="M1047">
        <v>30</v>
      </c>
      <c s="26" r="N1047">
        <v>2.1</v>
      </c>
      <c s="23" r="O1047">
        <v>0.01</v>
      </c>
      <c s="7" r="P1047"/>
      <c s="7" r="Q1047"/>
      <c s="7" r="R1047">
        <f>IF((P1047&gt;0),O1047,0)</f>
        <v>0</v>
      </c>
      <c t="str" r="S1047">
        <f>CONCATENATE(F1047,E1047)</f>
        <v>NON FTLNON FTL</v>
      </c>
    </row>
    <row r="1048">
      <c t="s" s="7" r="A1048">
        <v>201</v>
      </c>
      <c s="7" r="B1048">
        <v>1075</v>
      </c>
      <c s="30" r="C1048">
        <v>5</v>
      </c>
      <c t="s" s="30" r="D1048">
        <v>174</v>
      </c>
      <c t="s" s="30" r="E1048">
        <v>4</v>
      </c>
      <c t="s" s="30" r="F1048">
        <v>4</v>
      </c>
      <c t="s" s="30" r="G1048">
        <v>236</v>
      </c>
      <c t="str" s="12" r="H1048">
        <f>HYPERLINK("http://sofifa.com/en/fifa13winter/player/145829-lucas-pierre-santos-oliveira","Pierre")</f>
        <v>Pierre</v>
      </c>
      <c s="30" r="I1048">
        <v>76</v>
      </c>
      <c t="s" s="30" r="J1048">
        <v>154</v>
      </c>
      <c t="s" s="30" r="K1048">
        <v>187</v>
      </c>
      <c t="s" s="30" r="L1048">
        <v>163</v>
      </c>
      <c s="30" r="M1048">
        <v>30</v>
      </c>
      <c s="26" r="N1048">
        <v>4.1</v>
      </c>
      <c s="23" r="O1048">
        <v>0.017</v>
      </c>
      <c s="7" r="P1048"/>
      <c s="7" r="Q1048"/>
      <c s="7" r="R1048">
        <f>IF((P1048&gt;0),O1048,0)</f>
        <v>0</v>
      </c>
      <c t="str" r="S1048">
        <f>CONCATENATE(F1048,E1048)</f>
        <v>NON FTLNON FTL</v>
      </c>
    </row>
    <row r="1049">
      <c t="s" s="7" r="A1049">
        <v>201</v>
      </c>
      <c s="7" r="B1049">
        <v>1076</v>
      </c>
      <c s="30" r="C1049">
        <v>9</v>
      </c>
      <c t="s" s="30" r="D1049">
        <v>234</v>
      </c>
      <c t="s" s="30" r="E1049">
        <v>4</v>
      </c>
      <c t="s" s="30" r="F1049">
        <v>4</v>
      </c>
      <c t="s" s="30" r="G1049">
        <v>236</v>
      </c>
      <c t="str" s="12" r="H1049">
        <f>HYPERLINK("http://sofifa.com/en/fifa13winter/player/147036-diego-tardelli-martins","Diego Tardelli")</f>
        <v>Diego Tardelli</v>
      </c>
      <c s="30" r="I1049">
        <v>76</v>
      </c>
      <c t="s" s="30" r="J1049">
        <v>129</v>
      </c>
      <c t="s" s="30" r="K1049">
        <v>145</v>
      </c>
      <c t="s" s="30" r="L1049">
        <v>119</v>
      </c>
      <c s="30" r="M1049">
        <v>27</v>
      </c>
      <c s="26" r="N1049">
        <v>5.7</v>
      </c>
      <c s="23" r="O1049">
        <v>0.015</v>
      </c>
      <c s="7" r="P1049"/>
      <c s="7" r="Q1049"/>
      <c s="7" r="R1049">
        <f>IF((P1049&gt;0),O1049,0)</f>
        <v>0</v>
      </c>
      <c t="str" r="S1049">
        <f>CONCATENATE(F1049,E1049)</f>
        <v>NON FTLNON FTL</v>
      </c>
    </row>
    <row r="1050">
      <c t="s" s="7" r="A1050">
        <v>201</v>
      </c>
      <c s="7" r="B1050">
        <v>1077</v>
      </c>
      <c s="30" r="C1050">
        <v>10</v>
      </c>
      <c t="s" s="30" r="D1050">
        <v>162</v>
      </c>
      <c t="s" s="30" r="E1050">
        <v>4</v>
      </c>
      <c t="s" s="30" r="F1050">
        <v>4</v>
      </c>
      <c t="s" s="30" r="G1050">
        <v>236</v>
      </c>
      <c t="str" s="12" r="H1050">
        <f>HYPERLINK("http://sofifa.com/en/fifa13winter/player/145160-ronaldo-de-assis-moreira","Ronaldinho")</f>
        <v>Ronaldinho</v>
      </c>
      <c s="30" r="I1050">
        <v>82</v>
      </c>
      <c t="s" s="30" r="J1050">
        <v>162</v>
      </c>
      <c t="s" s="30" r="K1050">
        <v>143</v>
      </c>
      <c t="s" s="30" r="L1050">
        <v>153</v>
      </c>
      <c s="30" r="M1050">
        <v>32</v>
      </c>
      <c s="26" r="N1050">
        <v>13.3</v>
      </c>
      <c s="23" r="O1050">
        <v>0.064</v>
      </c>
      <c s="7" r="P1050"/>
      <c s="7" r="Q1050"/>
      <c s="7" r="R1050">
        <f>IF((P1050&gt;0),O1050,0)</f>
        <v>0</v>
      </c>
      <c t="str" r="S1050">
        <f>CONCATENATE(F1050,E1050)</f>
        <v>NON FTLNON FTL</v>
      </c>
    </row>
    <row r="1051">
      <c t="s" s="7" r="A1051">
        <v>201</v>
      </c>
      <c s="7" r="B1051">
        <v>1078</v>
      </c>
      <c s="30" r="C1051">
        <v>11</v>
      </c>
      <c t="s" s="30" r="D1051">
        <v>235</v>
      </c>
      <c t="s" s="30" r="E1051">
        <v>4</v>
      </c>
      <c t="s" s="30" r="F1051">
        <v>4</v>
      </c>
      <c t="s" s="30" r="G1051">
        <v>236</v>
      </c>
      <c t="str" s="12" r="H1051">
        <f>HYPERLINK("http://sofifa.com/en/fifa13winter/player/149707-bernard-anicio-caldeira-duarte","Bernard")</f>
        <v>Bernard</v>
      </c>
      <c s="30" r="I1051">
        <v>79</v>
      </c>
      <c t="s" s="30" r="J1051">
        <v>162</v>
      </c>
      <c t="s" s="30" r="K1051">
        <v>200</v>
      </c>
      <c t="s" s="30" r="L1051">
        <v>202</v>
      </c>
      <c s="30" r="M1051">
        <v>19</v>
      </c>
      <c s="26" r="N1051">
        <v>11.6</v>
      </c>
      <c s="23" r="O1051">
        <v>0.018</v>
      </c>
      <c s="7" r="P1051"/>
      <c s="7" r="Q1051"/>
      <c s="7" r="R1051">
        <f>IF((P1051&gt;0),O1051,0)</f>
        <v>0</v>
      </c>
      <c t="str" r="S1051">
        <f>CONCATENATE(F1051,E1051)</f>
        <v>NON FTLNON FTL</v>
      </c>
    </row>
    <row r="1052">
      <c t="s" s="7" r="A1052">
        <v>201</v>
      </c>
      <c s="7" r="B1052">
        <v>1079</v>
      </c>
      <c s="30" r="C1052">
        <v>7</v>
      </c>
      <c t="s" s="30" r="D1052">
        <v>129</v>
      </c>
      <c t="s" s="30" r="E1052">
        <v>4</v>
      </c>
      <c t="s" s="30" r="F1052">
        <v>4</v>
      </c>
      <c t="s" s="30" r="G1052">
        <v>236</v>
      </c>
      <c t="str" s="12" r="H1052">
        <f>HYPERLINK("http://sofifa.com/en/fifa13winter/player/147715-joao-alves-de-assis","Jô")</f>
        <v>Jô</v>
      </c>
      <c s="30" r="I1052">
        <v>78</v>
      </c>
      <c t="s" s="30" r="J1052">
        <v>129</v>
      </c>
      <c t="s" s="30" r="K1052">
        <v>169</v>
      </c>
      <c t="s" s="30" r="L1052">
        <v>161</v>
      </c>
      <c s="30" r="M1052">
        <v>25</v>
      </c>
      <c s="26" r="N1052">
        <v>7.8</v>
      </c>
      <c s="23" r="O1052">
        <v>0.019</v>
      </c>
      <c s="7" r="P1052"/>
      <c s="7" r="Q1052"/>
      <c s="7" r="R1052">
        <f>IF((P1052&gt;0),O1052,0)</f>
        <v>0</v>
      </c>
      <c t="str" r="S1052">
        <f>CONCATENATE(F1052,E1052)</f>
        <v>NON FTLNON FTL</v>
      </c>
    </row>
    <row r="1053">
      <c t="s" s="7" r="A1053">
        <v>201</v>
      </c>
      <c s="7" r="B1053">
        <v>1080</v>
      </c>
      <c s="30" r="C1053">
        <v>25</v>
      </c>
      <c t="s" s="30" r="D1053">
        <v>136</v>
      </c>
      <c t="s" s="30" r="E1053">
        <v>4</v>
      </c>
      <c t="s" s="30" r="F1053">
        <v>4</v>
      </c>
      <c t="s" s="30" r="G1053">
        <v>236</v>
      </c>
      <c t="str" s="12" r="H1053">
        <f>HYPERLINK("http://sofifa.com/en/fifa13winter/player/144914-josue-anunciato-de-oliveira","Josué")</f>
        <v>Josué</v>
      </c>
      <c s="30" r="I1053">
        <v>74</v>
      </c>
      <c t="s" s="30" r="J1053">
        <v>154</v>
      </c>
      <c t="s" s="30" r="K1053">
        <v>205</v>
      </c>
      <c t="s" s="30" r="L1053">
        <v>125</v>
      </c>
      <c s="30" r="M1053">
        <v>33</v>
      </c>
      <c s="26" r="N1053">
        <v>2.2</v>
      </c>
      <c s="23" r="O1053">
        <v>0.013</v>
      </c>
      <c s="7" r="P1053"/>
      <c s="7" r="Q1053"/>
      <c s="7" r="R1053">
        <f>IF((P1053&gt;0),O1053,0)</f>
        <v>0</v>
      </c>
      <c t="str" r="S1053">
        <f>CONCATENATE(F1053,E1053)</f>
        <v>NON FTLNON FTL</v>
      </c>
    </row>
    <row r="1054">
      <c t="s" s="7" r="A1054">
        <v>201</v>
      </c>
      <c s="7" r="B1054">
        <v>1081</v>
      </c>
      <c s="30" r="C1054">
        <v>23</v>
      </c>
      <c t="s" s="30" r="D1054">
        <v>136</v>
      </c>
      <c t="s" s="30" r="E1054">
        <v>4</v>
      </c>
      <c t="s" s="30" r="F1054">
        <v>4</v>
      </c>
      <c t="s" s="30" r="G1054">
        <v>236</v>
      </c>
      <c t="str" s="12" r="H1054">
        <f>HYPERLINK("http://sofifa.com/en/fifa13winter/player/149892-claudionor-souza-de-jesus","Leleu")</f>
        <v>Leleu</v>
      </c>
      <c s="30" r="I1054">
        <v>63</v>
      </c>
      <c t="s" s="30" r="J1054">
        <v>162</v>
      </c>
      <c t="s" s="30" r="K1054">
        <v>195</v>
      </c>
      <c t="s" s="30" r="L1054">
        <v>115</v>
      </c>
      <c s="30" r="M1054">
        <v>19</v>
      </c>
      <c s="26" r="N1054">
        <v>1</v>
      </c>
      <c s="23" r="O1054">
        <v>0.003</v>
      </c>
      <c s="7" r="P1054"/>
      <c s="7" r="Q1054"/>
      <c s="7" r="R1054">
        <f>IF((P1054&gt;0),O1054,0)</f>
        <v>0</v>
      </c>
      <c t="str" r="S1054">
        <f>CONCATENATE(F1054,E1054)</f>
        <v>NON FTLNON FTL</v>
      </c>
    </row>
    <row r="1055">
      <c t="s" s="7" r="A1055">
        <v>201</v>
      </c>
      <c s="7" r="B1055">
        <v>1082</v>
      </c>
      <c s="30" r="C1055">
        <v>12</v>
      </c>
      <c t="s" s="30" r="D1055">
        <v>136</v>
      </c>
      <c t="s" s="30" r="E1055">
        <v>4</v>
      </c>
      <c t="s" s="30" r="F1055">
        <v>4</v>
      </c>
      <c t="s" s="30" r="G1055">
        <v>236</v>
      </c>
      <c t="str" s="12" r="H1055">
        <f>HYPERLINK("http://sofifa.com/en/fifa13winter/player/147672-giovanni-a-adriano-dos-santos","Giovanni")</f>
        <v>Giovanni</v>
      </c>
      <c s="30" r="I1055">
        <v>71</v>
      </c>
      <c t="s" s="30" r="J1055">
        <v>106</v>
      </c>
      <c t="s" s="30" r="K1055">
        <v>144</v>
      </c>
      <c t="s" s="30" r="L1055">
        <v>108</v>
      </c>
      <c s="30" r="M1055">
        <v>25</v>
      </c>
      <c s="26" r="N1055">
        <v>1.9</v>
      </c>
      <c s="23" r="O1055">
        <v>0.008</v>
      </c>
      <c s="7" r="P1055"/>
      <c s="7" r="Q1055"/>
      <c s="7" r="R1055">
        <f>IF((P1055&gt;0),O1055,0)</f>
        <v>0</v>
      </c>
      <c t="str" r="S1055">
        <f>CONCATENATE(F1055,E1055)</f>
        <v>NON FTLNON FTL</v>
      </c>
    </row>
    <row r="1056">
      <c t="s" s="7" r="A1056">
        <v>201</v>
      </c>
      <c s="7" r="B1056">
        <v>1083</v>
      </c>
      <c s="30" r="C1056">
        <v>26</v>
      </c>
      <c t="s" s="30" r="D1056">
        <v>136</v>
      </c>
      <c t="s" s="30" r="E1056">
        <v>4</v>
      </c>
      <c t="s" s="30" r="F1056">
        <v>4</v>
      </c>
      <c t="s" s="30" r="G1056">
        <v>236</v>
      </c>
      <c t="str" s="12" r="H1056">
        <f>HYPERLINK("http://sofifa.com/en/fifa13winter/player/146652-carlos-cesar-neves","Carlos César")</f>
        <v>Carlos César</v>
      </c>
      <c s="30" r="I1056">
        <v>67</v>
      </c>
      <c t="s" s="30" r="J1056">
        <v>109</v>
      </c>
      <c t="s" s="30" r="K1056">
        <v>182</v>
      </c>
      <c t="s" s="30" r="L1056">
        <v>142</v>
      </c>
      <c s="30" r="M1056">
        <v>28</v>
      </c>
      <c s="26" r="N1056">
        <v>1.2</v>
      </c>
      <c s="23" r="O1056">
        <v>0.006</v>
      </c>
      <c s="7" r="P1056"/>
      <c s="7" r="Q1056"/>
      <c s="7" r="R1056">
        <f>IF((P1056&gt;0),O1056,0)</f>
        <v>0</v>
      </c>
      <c t="str" r="S1056">
        <f>CONCATENATE(F1056,E1056)</f>
        <v>NON FTLNON FTL</v>
      </c>
    </row>
    <row r="1057">
      <c t="s" s="7" r="A1057">
        <v>201</v>
      </c>
      <c s="7" r="B1057">
        <v>1084</v>
      </c>
      <c s="30" r="C1057">
        <v>24</v>
      </c>
      <c t="s" s="30" r="D1057">
        <v>136</v>
      </c>
      <c t="s" s="30" r="E1057">
        <v>4</v>
      </c>
      <c t="s" s="30" r="F1057">
        <v>4</v>
      </c>
      <c t="s" s="30" r="G1057">
        <v>236</v>
      </c>
      <c t="str" s="12" r="H1057">
        <f>HYPERLINK("http://sofifa.com/en/fifa13winter/player/148070-lee-w-leandro-da-silva-oliveira","Lee")</f>
        <v>Lee</v>
      </c>
      <c s="30" r="I1057">
        <v>70</v>
      </c>
      <c t="s" s="30" r="J1057">
        <v>106</v>
      </c>
      <c t="s" s="30" r="K1057">
        <v>134</v>
      </c>
      <c t="s" s="30" r="L1057">
        <v>180</v>
      </c>
      <c s="30" r="M1057">
        <v>24</v>
      </c>
      <c s="26" r="N1057">
        <v>1.6</v>
      </c>
      <c s="23" r="O1057">
        <v>0.007</v>
      </c>
      <c s="7" r="P1057"/>
      <c s="7" r="Q1057"/>
      <c s="7" r="R1057">
        <f>IF((P1057&gt;0),O1057,0)</f>
        <v>0</v>
      </c>
      <c t="str" r="S1057">
        <f>CONCATENATE(F1057,E1057)</f>
        <v>NON FTLNON FTL</v>
      </c>
    </row>
    <row r="1058">
      <c t="s" s="7" r="A1058">
        <v>201</v>
      </c>
      <c s="7" r="B1058">
        <v>1085</v>
      </c>
      <c s="30" r="C1058">
        <v>21</v>
      </c>
      <c t="s" s="30" r="D1058">
        <v>136</v>
      </c>
      <c t="s" s="30" r="E1058">
        <v>4</v>
      </c>
      <c t="s" s="30" r="F1058">
        <v>4</v>
      </c>
      <c t="s" s="30" r="G1058">
        <v>236</v>
      </c>
      <c t="str" s="12" r="H1058">
        <f>HYPERLINK("http://sofifa.com/en/fifa13winter/player/147958-sosthenes-jose-santos-salles","Neto Berola")</f>
        <v>Neto Berola</v>
      </c>
      <c s="30" r="I1058">
        <v>73</v>
      </c>
      <c t="s" s="30" r="J1058">
        <v>171</v>
      </c>
      <c t="s" s="30" r="K1058">
        <v>195</v>
      </c>
      <c t="s" s="30" r="L1058">
        <v>125</v>
      </c>
      <c s="30" r="M1058">
        <v>24</v>
      </c>
      <c s="26" r="N1058">
        <v>4.2</v>
      </c>
      <c s="23" r="O1058">
        <v>0.01</v>
      </c>
      <c s="7" r="P1058"/>
      <c s="7" r="Q1058"/>
      <c s="7" r="R1058">
        <f>IF((P1058&gt;0),O1058,0)</f>
        <v>0</v>
      </c>
      <c t="str" r="S1058">
        <f>CONCATENATE(F1058,E1058)</f>
        <v>NON FTLNON FTL</v>
      </c>
    </row>
    <row r="1059">
      <c t="s" s="7" r="A1059">
        <v>201</v>
      </c>
      <c s="7" r="B1059">
        <v>1086</v>
      </c>
      <c s="30" r="C1059">
        <v>15</v>
      </c>
      <c t="s" s="30" r="D1059">
        <v>136</v>
      </c>
      <c t="s" s="30" r="E1059">
        <v>4</v>
      </c>
      <c t="s" s="30" r="F1059">
        <v>4</v>
      </c>
      <c t="s" s="30" r="G1059">
        <v>236</v>
      </c>
      <c t="str" s="12" r="H1059">
        <f>HYPERLINK("http://sofifa.com/en/fifa13winter/player/143899-gilberto-aparecido-da-silva","Gilberto Silva")</f>
        <v>Gilberto Silva</v>
      </c>
      <c s="30" r="I1059">
        <v>76</v>
      </c>
      <c t="s" s="30" r="J1059">
        <v>113</v>
      </c>
      <c t="s" s="30" r="K1059">
        <v>167</v>
      </c>
      <c t="s" s="30" r="L1059">
        <v>160</v>
      </c>
      <c s="30" r="M1059">
        <v>35</v>
      </c>
      <c s="26" r="N1059">
        <v>2.9</v>
      </c>
      <c s="23" r="O1059">
        <v>0.019</v>
      </c>
      <c s="7" r="P1059"/>
      <c s="7" r="Q1059"/>
      <c s="7" r="R1059">
        <f>IF((P1059&gt;0),O1059,0)</f>
        <v>0</v>
      </c>
      <c t="str" r="S1059">
        <f>CONCATENATE(F1059,E1059)</f>
        <v>NON FTLNON FTL</v>
      </c>
    </row>
    <row r="1060">
      <c t="s" s="7" r="A1060">
        <v>201</v>
      </c>
      <c s="7" r="B1060">
        <v>1087</v>
      </c>
      <c s="30" r="C1060">
        <v>6</v>
      </c>
      <c t="s" s="30" r="D1060">
        <v>136</v>
      </c>
      <c t="s" s="30" r="E1060">
        <v>4</v>
      </c>
      <c t="s" s="30" r="F1060">
        <v>4</v>
      </c>
      <c t="s" s="30" r="G1060">
        <v>236</v>
      </c>
      <c t="str" s="12" r="H1060">
        <f>HYPERLINK("http://sofifa.com/en/fifa13winter/player/145909-junior-cesar-e-machado","Junior Cesar")</f>
        <v>Junior Cesar</v>
      </c>
      <c s="30" r="I1060">
        <v>72</v>
      </c>
      <c t="s" s="30" r="J1060">
        <v>117</v>
      </c>
      <c t="s" s="30" r="K1060">
        <v>219</v>
      </c>
      <c t="s" s="30" r="L1060">
        <v>127</v>
      </c>
      <c s="30" r="M1060">
        <v>30</v>
      </c>
      <c s="26" r="N1060">
        <v>2.1</v>
      </c>
      <c s="23" r="O1060">
        <v>0.01</v>
      </c>
      <c s="7" r="P1060"/>
      <c s="7" r="Q1060"/>
      <c s="7" r="R1060">
        <f>IF((P1060&gt;0),O1060,0)</f>
        <v>0</v>
      </c>
      <c t="str" r="S1060">
        <f>CONCATENATE(F1060,E1060)</f>
        <v>NON FTLNON FTL</v>
      </c>
    </row>
    <row r="1061">
      <c t="s" s="7" r="A1061">
        <v>201</v>
      </c>
      <c s="7" r="B1061">
        <v>1088</v>
      </c>
      <c s="30" r="C1061">
        <v>18</v>
      </c>
      <c t="s" s="30" r="D1061">
        <v>136</v>
      </c>
      <c t="s" s="30" r="E1061">
        <v>4</v>
      </c>
      <c t="s" s="30" r="F1061">
        <v>4</v>
      </c>
      <c t="s" s="30" r="G1061">
        <v>236</v>
      </c>
      <c t="str" s="12" r="H1061">
        <f>HYPERLINK("http://sofifa.com/en/fifa13winter/player/146300-rosinei-adolfo","Rosinei")</f>
        <v>Rosinei</v>
      </c>
      <c s="30" r="I1061">
        <v>72</v>
      </c>
      <c t="s" s="30" r="J1061">
        <v>124</v>
      </c>
      <c t="s" s="30" r="K1061">
        <v>121</v>
      </c>
      <c t="s" s="30" r="L1061">
        <v>168</v>
      </c>
      <c s="30" r="M1061">
        <v>29</v>
      </c>
      <c s="26" r="N1061">
        <v>2.6</v>
      </c>
      <c s="23" r="O1061">
        <v>0.009</v>
      </c>
      <c s="7" r="P1061"/>
      <c s="7" r="Q1061"/>
      <c s="7" r="R1061">
        <f>IF((P1061&gt;0),O1061,0)</f>
        <v>0</v>
      </c>
      <c t="str" r="S1061">
        <f>CONCATENATE(F1061,E1061)</f>
        <v>NON FTLNON FTL</v>
      </c>
    </row>
    <row r="1062">
      <c t="s" s="7" r="A1062">
        <v>201</v>
      </c>
      <c s="7" r="B1062">
        <v>1089</v>
      </c>
      <c s="30" r="C1062">
        <v>17</v>
      </c>
      <c t="s" s="30" r="D1062">
        <v>136</v>
      </c>
      <c t="s" s="30" r="E1062">
        <v>4</v>
      </c>
      <c t="s" s="30" r="F1062">
        <v>4</v>
      </c>
      <c t="s" s="30" r="G1062">
        <v>236</v>
      </c>
      <c t="str" s="12" r="H1062">
        <f>HYPERLINK("http://sofifa.com/en/fifa13winter/player/148297-guilherme-milhomem-gusmao","Guilherme")</f>
        <v>Guilherme</v>
      </c>
      <c s="30" r="I1062">
        <v>73</v>
      </c>
      <c t="s" s="30" r="J1062">
        <v>129</v>
      </c>
      <c t="s" s="30" r="K1062">
        <v>182</v>
      </c>
      <c t="s" s="30" r="L1062">
        <v>119</v>
      </c>
      <c s="30" r="M1062">
        <v>23</v>
      </c>
      <c s="26" r="N1062">
        <v>3.7</v>
      </c>
      <c s="23" r="O1062">
        <v>0.009</v>
      </c>
      <c s="7" r="P1062"/>
      <c s="7" r="Q1062"/>
      <c s="7" r="R1062">
        <f>IF((P1062&gt;0),O1062,0)</f>
        <v>0</v>
      </c>
      <c t="str" r="S1062">
        <f>CONCATENATE(F1062,E1062)</f>
        <v>NON FTLNON FTL</v>
      </c>
    </row>
    <row r="1063">
      <c t="s" s="7" r="A1063">
        <v>201</v>
      </c>
      <c s="7" r="B1063">
        <v>1090</v>
      </c>
      <c s="30" r="C1063">
        <v>14</v>
      </c>
      <c t="s" s="30" r="D1063">
        <v>136</v>
      </c>
      <c t="s" s="30" r="E1063">
        <v>4</v>
      </c>
      <c t="s" s="30" r="F1063">
        <v>4</v>
      </c>
      <c t="s" s="30" r="G1063">
        <v>236</v>
      </c>
      <c t="str" s="12" r="H1063">
        <f>HYPERLINK("http://sofifa.com/en/fifa13winter/player/146439-rafael-marques-pinto","Rafael Marques")</f>
        <v>Rafael Marques</v>
      </c>
      <c s="30" r="I1063">
        <v>72</v>
      </c>
      <c t="s" s="30" r="J1063">
        <v>113</v>
      </c>
      <c t="s" s="30" r="K1063">
        <v>132</v>
      </c>
      <c t="s" s="30" r="L1063">
        <v>108</v>
      </c>
      <c s="30" r="M1063">
        <v>28</v>
      </c>
      <c s="26" r="N1063">
        <v>2.4</v>
      </c>
      <c s="23" r="O1063">
        <v>0.009</v>
      </c>
      <c s="7" r="P1063"/>
      <c s="7" r="Q1063"/>
      <c s="7" r="R1063">
        <f>IF((P1063&gt;0),O1063,0)</f>
        <v>0</v>
      </c>
      <c t="str" r="S1063">
        <f>CONCATENATE(F1063,E1063)</f>
        <v>NON FTLNON FTL</v>
      </c>
    </row>
    <row r="1064">
      <c t="s" s="7" r="A1064">
        <v>201</v>
      </c>
      <c s="7" r="B1064">
        <v>1091</v>
      </c>
      <c s="30" r="C1064">
        <v>19</v>
      </c>
      <c t="s" s="30" r="D1064">
        <v>136</v>
      </c>
      <c t="s" s="30" r="E1064">
        <v>4</v>
      </c>
      <c t="s" s="30" r="F1064">
        <v>4</v>
      </c>
      <c t="s" s="30" r="G1064">
        <v>236</v>
      </c>
      <c t="str" s="12" r="H1064">
        <f>HYPERLINK("http://sofifa.com/en/fifa13winter/player/145480-alecsandro-barbosa-felisbino","Alecsandro")</f>
        <v>Alecsandro</v>
      </c>
      <c s="30" r="I1064">
        <v>73</v>
      </c>
      <c t="s" s="30" r="J1064">
        <v>129</v>
      </c>
      <c t="s" s="30" r="K1064">
        <v>110</v>
      </c>
      <c t="s" s="30" r="L1064">
        <v>183</v>
      </c>
      <c s="30" r="M1064">
        <v>31</v>
      </c>
      <c s="26" r="N1064">
        <v>2.9</v>
      </c>
      <c s="23" r="O1064">
        <v>0.011</v>
      </c>
      <c s="7" r="P1064"/>
      <c s="7" r="Q1064"/>
      <c s="7" r="R1064">
        <f>IF((P1064&gt;0),O1064,0)</f>
        <v>0</v>
      </c>
      <c t="str" r="S1064">
        <f>CONCATENATE(F1064,E1064)</f>
        <v>NON FTLNON FTL</v>
      </c>
    </row>
    <row r="1065">
      <c t="s" s="7" r="A1065">
        <v>201</v>
      </c>
      <c s="7" r="B1065">
        <v>1092</v>
      </c>
      <c s="30" r="C1065">
        <v>29</v>
      </c>
      <c t="s" s="30" r="D1065">
        <v>147</v>
      </c>
      <c t="s" s="30" r="E1065">
        <v>4</v>
      </c>
      <c t="s" s="30" r="F1065">
        <v>4</v>
      </c>
      <c t="s" s="30" r="G1065">
        <v>236</v>
      </c>
      <c t="str" s="12" r="H1065">
        <f>HYPERLINK("http://sofifa.com/en/fifa13winter/player/148778-michel-macedo-rocha-machado","Michel Macedo")</f>
        <v>Michel Macedo</v>
      </c>
      <c s="30" r="I1065">
        <v>70</v>
      </c>
      <c t="s" s="30" r="J1065">
        <v>109</v>
      </c>
      <c t="s" s="30" r="K1065">
        <v>143</v>
      </c>
      <c t="s" s="30" r="L1065">
        <v>137</v>
      </c>
      <c s="30" r="M1065">
        <v>22</v>
      </c>
      <c s="26" r="N1065">
        <v>1.8</v>
      </c>
      <c s="23" r="O1065">
        <v>0.006</v>
      </c>
      <c s="7" r="P1065"/>
      <c s="7" r="Q1065"/>
      <c s="7" r="R1065">
        <f>IF((P1065&gt;0),O1065,0)</f>
        <v>0</v>
      </c>
      <c t="str" r="S1065">
        <f>CONCATENATE(F1065,E1065)</f>
        <v>NON FTLNON FTL</v>
      </c>
    </row>
    <row r="1066">
      <c t="s" s="7" r="A1066">
        <v>201</v>
      </c>
      <c s="7" r="B1066">
        <v>1093</v>
      </c>
      <c s="30" r="C1066">
        <v>30</v>
      </c>
      <c t="s" s="30" r="D1066">
        <v>147</v>
      </c>
      <c t="s" s="30" r="E1066">
        <v>4</v>
      </c>
      <c t="s" s="30" r="F1066">
        <v>4</v>
      </c>
      <c t="s" s="30" r="G1066">
        <v>236</v>
      </c>
      <c t="str" s="12" r="H1066">
        <f>HYPERLINK("http://sofifa.com/en/fifa13winter/player/149653-sidimar-fernando-cigolini","Sidimar")</f>
        <v>Sidimar</v>
      </c>
      <c s="30" r="I1066">
        <v>63</v>
      </c>
      <c t="s" s="30" r="J1066">
        <v>113</v>
      </c>
      <c t="s" s="30" r="K1066">
        <v>173</v>
      </c>
      <c t="s" s="30" r="L1066">
        <v>137</v>
      </c>
      <c s="30" r="M1066">
        <v>20</v>
      </c>
      <c s="26" r="N1066">
        <v>0.9</v>
      </c>
      <c s="23" r="O1066">
        <v>0.003</v>
      </c>
      <c s="7" r="P1066"/>
      <c s="7" r="Q1066"/>
      <c s="7" r="R1066">
        <f>IF((P1066&gt;0),O1066,0)</f>
        <v>0</v>
      </c>
      <c t="str" r="S1066">
        <f>CONCATENATE(F1066,E1066)</f>
        <v>NON FTLNON FTL</v>
      </c>
    </row>
    <row r="1067">
      <c t="s" s="7" r="A1067">
        <v>201</v>
      </c>
      <c s="7" r="B1067">
        <v>1094</v>
      </c>
      <c s="30" r="C1067">
        <v>27</v>
      </c>
      <c t="s" s="30" r="D1067">
        <v>147</v>
      </c>
      <c t="s" s="30" r="E1067">
        <v>4</v>
      </c>
      <c t="s" s="30" r="F1067">
        <v>4</v>
      </c>
      <c t="s" s="30" r="G1067">
        <v>236</v>
      </c>
      <c t="str" s="12" r="H1067">
        <f>HYPERLINK("http://sofifa.com/en/fifa13winter/player/149044-luan-madson-g-de-paiva","Luan")</f>
        <v>Luan</v>
      </c>
      <c s="30" r="I1067">
        <v>72</v>
      </c>
      <c t="s" s="30" r="J1067">
        <v>171</v>
      </c>
      <c t="s" s="30" r="K1067">
        <v>121</v>
      </c>
      <c t="s" s="30" r="L1067">
        <v>111</v>
      </c>
      <c s="30" r="M1067">
        <v>21</v>
      </c>
      <c s="26" r="N1067">
        <v>3.4</v>
      </c>
      <c s="23" r="O1067">
        <v>0.008</v>
      </c>
      <c s="7" r="P1067"/>
      <c s="7" r="Q1067"/>
      <c s="7" r="R1067">
        <f>IF((P1067&gt;0),O1067,0)</f>
        <v>0</v>
      </c>
      <c t="str" r="S1067">
        <f>CONCATENATE(F1067,E1067)</f>
        <v>NON FTLNON FTL</v>
      </c>
    </row>
    <row r="1068">
      <c t="s" s="7" r="A1068">
        <v>201</v>
      </c>
      <c s="7" r="B1068">
        <v>1095</v>
      </c>
      <c s="30" r="C1068">
        <v>36</v>
      </c>
      <c t="s" s="30" r="D1068">
        <v>147</v>
      </c>
      <c t="s" s="30" r="E1068">
        <v>4</v>
      </c>
      <c t="s" s="30" r="F1068">
        <v>4</v>
      </c>
      <c t="s" s="30" r="G1068">
        <v>236</v>
      </c>
      <c t="str" s="12" r="H1068">
        <f>HYPERLINK("http://sofifa.com/en/fifa13winter/player/149699-jemerson-de-jesus-nascimento","Jemerson")</f>
        <v>Jemerson</v>
      </c>
      <c s="30" r="I1068">
        <v>64</v>
      </c>
      <c t="s" s="30" r="J1068">
        <v>113</v>
      </c>
      <c t="s" s="30" r="K1068">
        <v>167</v>
      </c>
      <c t="s" s="30" r="L1068">
        <v>161</v>
      </c>
      <c s="30" r="M1068">
        <v>20</v>
      </c>
      <c s="26" r="N1068">
        <v>1</v>
      </c>
      <c s="23" r="O1068">
        <v>0.004</v>
      </c>
      <c s="7" r="P1068"/>
      <c s="7" r="Q1068"/>
      <c s="7" r="R1068">
        <f>IF((P1068&gt;0),O1068,0)</f>
        <v>0</v>
      </c>
      <c t="str" r="S1068">
        <f>CONCATENATE(F1068,E1068)</f>
        <v>NON FTLNON FTL</v>
      </c>
    </row>
    <row r="1069">
      <c t="s" s="7" r="A1069">
        <v>201</v>
      </c>
      <c s="7" r="B1069">
        <v>1096</v>
      </c>
      <c s="30" r="C1069">
        <v>16</v>
      </c>
      <c t="s" s="30" r="D1069">
        <v>106</v>
      </c>
      <c t="s" s="30" r="E1069">
        <v>4</v>
      </c>
      <c t="s" s="30" r="F1069">
        <v>4</v>
      </c>
      <c t="s" s="30" r="G1069">
        <v>237</v>
      </c>
      <c t="str" s="12" r="H1069">
        <f>HYPERLINK("http://sofifa.com/en/fifa13winter/player/149006-anthony-lopes","A. Lopes")</f>
        <v>A. Lopes</v>
      </c>
      <c s="30" r="I1069">
        <v>66</v>
      </c>
      <c t="s" s="30" r="J1069">
        <v>106</v>
      </c>
      <c t="s" s="30" r="K1069">
        <v>167</v>
      </c>
      <c t="s" s="30" r="L1069">
        <v>183</v>
      </c>
      <c s="30" r="M1069">
        <v>21</v>
      </c>
      <c s="26" r="N1069">
        <v>1.1</v>
      </c>
      <c s="23" r="O1069">
        <v>0.005</v>
      </c>
      <c s="7" r="P1069"/>
      <c s="7" r="Q1069"/>
      <c s="7" r="R1069">
        <f>IF((P1069&gt;0),O1069,0)</f>
        <v>0</v>
      </c>
      <c t="str" r="S1069">
        <f>CONCATENATE(F1069,E1069)</f>
        <v>NON FTLNON FTL</v>
      </c>
    </row>
    <row r="1070">
      <c t="s" s="7" r="A1070">
        <v>201</v>
      </c>
      <c s="7" r="B1070">
        <v>1097</v>
      </c>
      <c s="30" r="C1070">
        <v>13</v>
      </c>
      <c t="s" s="30" r="D1070">
        <v>109</v>
      </c>
      <c t="s" s="30" r="E1070">
        <v>4</v>
      </c>
      <c t="s" s="30" r="F1070">
        <v>4</v>
      </c>
      <c t="s" s="30" r="G1070">
        <v>237</v>
      </c>
      <c t="str" s="12" r="H1070">
        <f>HYPERLINK("http://sofifa.com/en/fifa13winter/player/145028-anthony-reveillere","A. Réveillère")</f>
        <v>A. Réveillère</v>
      </c>
      <c s="30" r="I1070">
        <v>77</v>
      </c>
      <c t="s" s="30" r="J1070">
        <v>109</v>
      </c>
      <c t="s" s="30" r="K1070">
        <v>114</v>
      </c>
      <c t="s" s="30" r="L1070">
        <v>137</v>
      </c>
      <c s="30" r="M1070">
        <v>32</v>
      </c>
      <c s="26" r="N1070">
        <v>4</v>
      </c>
      <c s="23" r="O1070">
        <v>0.02</v>
      </c>
      <c s="7" r="P1070"/>
      <c s="7" r="Q1070"/>
      <c s="7" r="R1070">
        <f>IF((P1070&gt;0),O1070,0)</f>
        <v>0</v>
      </c>
      <c t="str" r="S1070">
        <f>CONCATENATE(F1070,E1070)</f>
        <v>NON FTLNON FTL</v>
      </c>
    </row>
    <row r="1071">
      <c t="s" s="7" r="A1071">
        <v>201</v>
      </c>
      <c s="7" r="B1071">
        <v>1098</v>
      </c>
      <c s="30" r="C1071">
        <v>4</v>
      </c>
      <c t="s" s="30" r="D1071">
        <v>112</v>
      </c>
      <c t="s" s="30" r="E1071">
        <v>4</v>
      </c>
      <c t="s" s="30" r="F1071">
        <v>4</v>
      </c>
      <c t="s" s="30" r="G1071">
        <v>237</v>
      </c>
      <c t="str" s="12" r="H1071">
        <f>HYPERLINK("http://sofifa.com/en/fifa13winter/player/148119-bakary-kone","B. Koné")</f>
        <v>B. Koné</v>
      </c>
      <c s="30" r="I1071">
        <v>74</v>
      </c>
      <c t="s" s="30" r="J1071">
        <v>113</v>
      </c>
      <c t="s" s="30" r="K1071">
        <v>134</v>
      </c>
      <c t="s" s="30" r="L1071">
        <v>153</v>
      </c>
      <c s="30" r="M1071">
        <v>24</v>
      </c>
      <c s="26" r="N1071">
        <v>3.4</v>
      </c>
      <c s="23" r="O1071">
        <v>0.011</v>
      </c>
      <c s="7" r="P1071"/>
      <c s="7" r="Q1071"/>
      <c s="7" r="R1071">
        <f>IF((P1071&gt;0),O1071,0)</f>
        <v>0</v>
      </c>
      <c t="str" r="S1071">
        <f>CONCATENATE(F1071,E1071)</f>
        <v>NON FTLNON FTL</v>
      </c>
    </row>
    <row r="1072">
      <c t="s" s="7" r="A1072">
        <v>201</v>
      </c>
      <c s="7" r="B1072">
        <v>1099</v>
      </c>
      <c s="30" r="C1072">
        <v>15</v>
      </c>
      <c t="s" s="30" r="D1072">
        <v>116</v>
      </c>
      <c t="s" s="30" r="E1072">
        <v>4</v>
      </c>
      <c t="s" s="30" r="F1072">
        <v>4</v>
      </c>
      <c t="s" s="30" r="G1072">
        <v>237</v>
      </c>
      <c t="str" s="12" r="H1072">
        <f>HYPERLINK("http://sofifa.com/en/fifa13winter/player/146418-milan-bisevac","M. Biševac")</f>
        <v>M. Biševac</v>
      </c>
      <c s="30" r="I1072">
        <v>79</v>
      </c>
      <c t="s" s="30" r="J1072">
        <v>113</v>
      </c>
      <c t="s" s="30" r="K1072">
        <v>132</v>
      </c>
      <c t="s" s="30" r="L1072">
        <v>183</v>
      </c>
      <c s="30" r="M1072">
        <v>29</v>
      </c>
      <c s="26" r="N1072">
        <v>6.4</v>
      </c>
      <c s="23" r="O1072">
        <v>0.024</v>
      </c>
      <c s="7" r="P1072"/>
      <c s="7" r="Q1072"/>
      <c s="7" r="R1072">
        <f>IF((P1072&gt;0),O1072,0)</f>
        <v>0</v>
      </c>
      <c t="str" r="S1072">
        <f>CONCATENATE(F1072,E1072)</f>
        <v>NON FTLNON FTL</v>
      </c>
    </row>
    <row r="1073">
      <c t="s" s="7" r="A1073">
        <v>201</v>
      </c>
      <c s="7" r="B1073">
        <v>1100</v>
      </c>
      <c s="30" r="C1073">
        <v>14</v>
      </c>
      <c t="s" s="30" r="D1073">
        <v>117</v>
      </c>
      <c t="s" s="30" r="E1073">
        <v>4</v>
      </c>
      <c t="s" s="30" r="F1073">
        <v>4</v>
      </c>
      <c t="s" s="30" r="G1073">
        <v>237</v>
      </c>
      <c t="str" s="12" r="H1073">
        <f>HYPERLINK("http://sofifa.com/en/fifa13winter/player/147603-mouhamadou-dabo","M. Dabo")</f>
        <v>M. Dabo</v>
      </c>
      <c s="30" r="I1073">
        <v>72</v>
      </c>
      <c t="s" s="30" r="J1073">
        <v>117</v>
      </c>
      <c t="s" s="30" r="K1073">
        <v>172</v>
      </c>
      <c t="s" s="30" r="L1073">
        <v>149</v>
      </c>
      <c s="30" r="M1073">
        <v>25</v>
      </c>
      <c s="26" r="N1073">
        <v>2.5</v>
      </c>
      <c s="23" r="O1073">
        <v>0.009</v>
      </c>
      <c s="7" r="P1073"/>
      <c s="7" r="Q1073"/>
      <c s="7" r="R1073">
        <f>IF((P1073&gt;0),O1073,0)</f>
        <v>0</v>
      </c>
      <c t="str" r="S1073">
        <f>CONCATENATE(F1073,E1073)</f>
        <v>NON FTLNON FTL</v>
      </c>
    </row>
    <row r="1074">
      <c t="s" s="7" r="A1074">
        <v>201</v>
      </c>
      <c s="7" r="B1074">
        <v>1101</v>
      </c>
      <c s="30" r="C1074">
        <v>21</v>
      </c>
      <c t="s" s="30" r="D1074">
        <v>186</v>
      </c>
      <c t="s" s="30" r="E1074">
        <v>4</v>
      </c>
      <c t="s" s="30" r="F1074">
        <v>4</v>
      </c>
      <c t="s" s="30" r="G1074">
        <v>237</v>
      </c>
      <c t="str" s="12" r="H1074">
        <f>HYPERLINK("http://sofifa.com/en/fifa13winter/player/148436-maxime-gonalons","M. Gonalons")</f>
        <v>M. Gonalons</v>
      </c>
      <c s="30" r="I1074">
        <v>78</v>
      </c>
      <c t="s" s="30" r="J1074">
        <v>154</v>
      </c>
      <c t="s" s="30" r="K1074">
        <v>155</v>
      </c>
      <c t="s" s="30" r="L1074">
        <v>137</v>
      </c>
      <c s="30" r="M1074">
        <v>23</v>
      </c>
      <c s="26" r="N1074">
        <v>6.3</v>
      </c>
      <c s="23" r="O1074">
        <v>0.018</v>
      </c>
      <c s="7" r="P1074"/>
      <c s="7" r="Q1074"/>
      <c s="7" r="R1074">
        <f>IF((P1074&gt;0),O1074,0)</f>
        <v>0</v>
      </c>
      <c t="str" r="S1074">
        <f>CONCATENATE(F1074,E1074)</f>
        <v>NON FTLNON FTL</v>
      </c>
    </row>
    <row r="1075">
      <c t="s" s="7" r="A1075">
        <v>201</v>
      </c>
      <c s="7" r="B1075">
        <v>1102</v>
      </c>
      <c s="30" r="C1075">
        <v>17</v>
      </c>
      <c t="s" s="30" r="D1075">
        <v>174</v>
      </c>
      <c t="s" s="30" r="E1075">
        <v>4</v>
      </c>
      <c t="s" s="30" r="F1075">
        <v>4</v>
      </c>
      <c t="s" s="30" r="G1075">
        <v>237</v>
      </c>
      <c t="str" s="12" r="H1075">
        <f>HYPERLINK("http://sofifa.com/en/fifa13winter/player/145085-steed-malbranque","S. Malbranque")</f>
        <v>S. Malbranque</v>
      </c>
      <c s="30" r="I1075">
        <v>76</v>
      </c>
      <c t="s" s="30" r="J1075">
        <v>124</v>
      </c>
      <c t="s" s="30" r="K1075">
        <v>148</v>
      </c>
      <c t="s" s="30" r="L1075">
        <v>119</v>
      </c>
      <c s="30" r="M1075">
        <v>32</v>
      </c>
      <c s="26" r="N1075">
        <v>3.6</v>
      </c>
      <c s="23" r="O1075">
        <v>0.018</v>
      </c>
      <c s="7" r="P1075"/>
      <c s="7" r="Q1075"/>
      <c s="7" r="R1075">
        <f>IF((P1075&gt;0),O1075,0)</f>
        <v>0</v>
      </c>
      <c t="str" r="S1075">
        <f>CONCATENATE(F1075,E1075)</f>
        <v>NON FTLNON FTL</v>
      </c>
    </row>
    <row r="1076">
      <c t="s" s="7" r="A1076">
        <v>201</v>
      </c>
      <c s="7" r="B1076">
        <v>1103</v>
      </c>
      <c s="30" r="C1076">
        <v>10</v>
      </c>
      <c t="s" s="30" r="D1076">
        <v>120</v>
      </c>
      <c t="s" s="30" r="E1076">
        <v>4</v>
      </c>
      <c t="s" s="30" r="F1076">
        <v>4</v>
      </c>
      <c t="s" s="30" r="G1076">
        <v>237</v>
      </c>
      <c t="str" s="12" r="H1076">
        <f>HYPERLINK("http://sofifa.com/en/fifa13winter/player/149245-alexandre-lacazette","A. Lacazette")</f>
        <v>A. Lacazette</v>
      </c>
      <c s="30" r="I1076">
        <v>75</v>
      </c>
      <c t="s" s="30" r="J1076">
        <v>157</v>
      </c>
      <c t="s" s="30" r="K1076">
        <v>139</v>
      </c>
      <c t="s" s="30" r="L1076">
        <v>119</v>
      </c>
      <c s="30" r="M1076">
        <v>21</v>
      </c>
      <c s="26" r="N1076">
        <v>5</v>
      </c>
      <c s="23" r="O1076">
        <v>0.011</v>
      </c>
      <c s="7" r="P1076"/>
      <c s="7" r="Q1076"/>
      <c s="7" r="R1076">
        <f>IF((P1076&gt;0),O1076,0)</f>
        <v>0</v>
      </c>
      <c t="str" r="S1076">
        <f>CONCATENATE(F1076,E1076)</f>
        <v>NON FTLNON FTL</v>
      </c>
    </row>
    <row r="1077">
      <c t="s" s="7" r="A1077">
        <v>201</v>
      </c>
      <c s="7" r="B1077">
        <v>1104</v>
      </c>
      <c s="30" r="C1077">
        <v>8</v>
      </c>
      <c t="s" s="30" r="D1077">
        <v>128</v>
      </c>
      <c t="s" s="30" r="E1077">
        <v>4</v>
      </c>
      <c t="s" s="30" r="F1077">
        <v>4</v>
      </c>
      <c t="s" s="30" r="G1077">
        <v>237</v>
      </c>
      <c t="str" s="12" r="H1077">
        <f>HYPERLINK("http://sofifa.com/en/fifa13winter/player/147463-yoann-gourcuff","Y. Gourcuff")</f>
        <v>Y. Gourcuff</v>
      </c>
      <c s="30" r="I1077">
        <v>79</v>
      </c>
      <c t="s" s="30" r="J1077">
        <v>162</v>
      </c>
      <c t="s" s="30" r="K1077">
        <v>132</v>
      </c>
      <c t="s" s="30" r="L1077">
        <v>161</v>
      </c>
      <c s="30" r="M1077">
        <v>26</v>
      </c>
      <c s="26" r="N1077">
        <v>8.8</v>
      </c>
      <c s="23" r="O1077">
        <v>0.022</v>
      </c>
      <c s="7" r="P1077"/>
      <c s="7" r="Q1077"/>
      <c s="7" r="R1077">
        <f>IF((P1077&gt;0),O1077,0)</f>
        <v>0</v>
      </c>
      <c t="str" r="S1077">
        <f>CONCATENATE(F1077,E1077)</f>
        <v>NON FTLNON FTL</v>
      </c>
    </row>
    <row r="1078">
      <c t="s" s="7" r="A1078">
        <v>201</v>
      </c>
      <c s="7" r="B1078">
        <v>1105</v>
      </c>
      <c s="30" r="C1078">
        <v>7</v>
      </c>
      <c t="s" s="30" r="D1078">
        <v>162</v>
      </c>
      <c t="s" s="30" r="E1078">
        <v>4</v>
      </c>
      <c t="s" s="30" r="F1078">
        <v>4</v>
      </c>
      <c t="s" s="30" r="G1078">
        <v>237</v>
      </c>
      <c t="str" s="12" r="H1078">
        <f>HYPERLINK("http://sofifa.com/en/fifa13winter/player/149104-clement-grenier","C. Grenier")</f>
        <v>C. Grenier</v>
      </c>
      <c s="30" r="I1078">
        <v>77</v>
      </c>
      <c t="s" s="30" r="J1078">
        <v>162</v>
      </c>
      <c t="s" s="30" r="K1078">
        <v>173</v>
      </c>
      <c t="s" s="30" r="L1078">
        <v>146</v>
      </c>
      <c s="30" r="M1078">
        <v>21</v>
      </c>
      <c s="26" r="N1078">
        <v>7.1</v>
      </c>
      <c s="23" r="O1078">
        <v>0.015</v>
      </c>
      <c s="7" r="P1078"/>
      <c s="7" r="Q1078"/>
      <c s="7" r="R1078">
        <f>IF((P1078&gt;0),O1078,0)</f>
        <v>0</v>
      </c>
      <c t="str" r="S1078">
        <f>CONCATENATE(F1078,E1078)</f>
        <v>NON FTLNON FTL</v>
      </c>
    </row>
    <row r="1079">
      <c t="s" s="7" r="A1079">
        <v>201</v>
      </c>
      <c s="7" r="B1079">
        <v>1106</v>
      </c>
      <c s="30" r="C1079">
        <v>18</v>
      </c>
      <c t="s" s="30" r="D1079">
        <v>129</v>
      </c>
      <c t="s" s="30" r="E1079">
        <v>4</v>
      </c>
      <c t="s" s="30" r="F1079">
        <v>4</v>
      </c>
      <c t="s" s="30" r="G1079">
        <v>237</v>
      </c>
      <c t="str" s="12" r="H1079">
        <f>HYPERLINK("http://sofifa.com/en/fifa13winter/player/147124-bafetimbi-gomis","B. Gomis")</f>
        <v>B. Gomis</v>
      </c>
      <c s="30" r="I1079">
        <v>81</v>
      </c>
      <c t="s" s="30" r="J1079">
        <v>129</v>
      </c>
      <c t="s" s="30" r="K1079">
        <v>167</v>
      </c>
      <c t="s" s="30" r="L1079">
        <v>138</v>
      </c>
      <c s="30" r="M1079">
        <v>27</v>
      </c>
      <c s="26" r="N1079">
        <v>13.5</v>
      </c>
      <c s="23" r="O1079">
        <v>0.04</v>
      </c>
      <c s="7" r="P1079"/>
      <c s="7" r="Q1079"/>
      <c s="7" r="R1079">
        <f>IF((P1079&gt;0),O1079,0)</f>
        <v>0</v>
      </c>
      <c t="str" r="S1079">
        <f>CONCATENATE(F1079,E1079)</f>
        <v>NON FTLNON FTL</v>
      </c>
    </row>
    <row r="1080">
      <c t="s" s="7" r="A1080">
        <v>201</v>
      </c>
      <c s="7" r="B1080">
        <v>1107</v>
      </c>
      <c s="30" r="C1080">
        <v>23</v>
      </c>
      <c t="s" s="30" r="D1080">
        <v>136</v>
      </c>
      <c t="s" s="30" r="E1080">
        <v>4</v>
      </c>
      <c t="s" s="30" r="F1080">
        <v>4</v>
      </c>
      <c t="s" s="30" r="G1080">
        <v>237</v>
      </c>
      <c t="str" s="12" r="H1080">
        <f>HYPERLINK("http://sofifa.com/en/fifa13winter/player/150146-samuel-umtiti","S. Umtiti")</f>
        <v>S. Umtiti</v>
      </c>
      <c s="30" r="I1080">
        <v>74</v>
      </c>
      <c t="s" s="30" r="J1080">
        <v>113</v>
      </c>
      <c t="s" s="30" r="K1080">
        <v>150</v>
      </c>
      <c t="s" s="30" r="L1080">
        <v>151</v>
      </c>
      <c s="30" r="M1080">
        <v>18</v>
      </c>
      <c s="26" r="N1080">
        <v>3.9</v>
      </c>
      <c s="23" r="O1080">
        <v>0.008</v>
      </c>
      <c s="7" r="P1080"/>
      <c s="7" r="Q1080"/>
      <c s="7" r="R1080">
        <f>IF((P1080&gt;0),O1080,0)</f>
        <v>0</v>
      </c>
      <c t="str" r="S1080">
        <f>CONCATENATE(F1080,E1080)</f>
        <v>NON FTLNON FTL</v>
      </c>
    </row>
    <row r="1081">
      <c t="s" s="7" r="A1081">
        <v>201</v>
      </c>
      <c s="7" r="B1081">
        <v>1108</v>
      </c>
      <c s="30" r="C1081">
        <v>12</v>
      </c>
      <c t="s" s="30" r="D1081">
        <v>136</v>
      </c>
      <c t="s" s="30" r="E1081">
        <v>4</v>
      </c>
      <c t="s" s="30" r="F1081">
        <v>4</v>
      </c>
      <c t="s" s="30" r="G1081">
        <v>237</v>
      </c>
      <c t="str" s="12" r="H1081">
        <f>HYPERLINK("http://sofifa.com/en/fifa13winter/player/149534-jordan-ferri","J. Ferri")</f>
        <v>J. Ferri</v>
      </c>
      <c s="30" r="I1081">
        <v>63</v>
      </c>
      <c t="s" s="30" r="J1081">
        <v>154</v>
      </c>
      <c t="s" s="30" r="K1081">
        <v>187</v>
      </c>
      <c t="s" s="30" r="L1081">
        <v>122</v>
      </c>
      <c s="30" r="M1081">
        <v>20</v>
      </c>
      <c s="26" r="N1081">
        <v>0.8</v>
      </c>
      <c s="23" r="O1081">
        <v>0.003</v>
      </c>
      <c s="7" r="P1081"/>
      <c s="7" r="Q1081"/>
      <c s="7" r="R1081">
        <f>IF((P1081&gt;0),O1081,0)</f>
        <v>0</v>
      </c>
      <c t="str" r="S1081">
        <f>CONCATENATE(F1081,E1081)</f>
        <v>NON FTLNON FTL</v>
      </c>
    </row>
    <row r="1082">
      <c t="s" s="7" r="A1082">
        <v>201</v>
      </c>
      <c s="7" r="B1082">
        <v>1109</v>
      </c>
      <c s="30" r="C1082">
        <v>25</v>
      </c>
      <c t="s" s="30" r="D1082">
        <v>136</v>
      </c>
      <c t="s" s="30" r="E1082">
        <v>4</v>
      </c>
      <c t="s" s="30" r="F1082">
        <v>4</v>
      </c>
      <c t="s" s="30" r="G1082">
        <v>237</v>
      </c>
      <c t="str" s="12" r="H1082">
        <f>HYPERLINK("http://sofifa.com/en/fifa13winter/player/150444-yassine-benzia","Y. Benzia")</f>
        <v>Y. Benzia</v>
      </c>
      <c s="30" r="I1082">
        <v>66</v>
      </c>
      <c t="s" s="30" r="J1082">
        <v>129</v>
      </c>
      <c t="s" s="30" r="K1082">
        <v>145</v>
      </c>
      <c t="s" s="30" r="L1082">
        <v>142</v>
      </c>
      <c s="30" r="M1082">
        <v>17</v>
      </c>
      <c s="26" r="N1082">
        <v>1.7</v>
      </c>
      <c s="23" r="O1082">
        <v>0.004</v>
      </c>
      <c s="7" r="P1082"/>
      <c s="7" r="Q1082"/>
      <c s="7" r="R1082">
        <f>IF((P1082&gt;0),O1082,0)</f>
        <v>0</v>
      </c>
      <c t="str" r="S1082">
        <f>CONCATENATE(F1082,E1082)</f>
        <v>NON FTLNON FTL</v>
      </c>
    </row>
    <row r="1083">
      <c t="s" s="7" r="A1083">
        <v>201</v>
      </c>
      <c s="7" r="B1083">
        <v>1110</v>
      </c>
      <c s="30" r="C1083">
        <v>31</v>
      </c>
      <c t="s" s="30" r="D1083">
        <v>136</v>
      </c>
      <c t="s" s="30" r="E1083">
        <v>4</v>
      </c>
      <c t="s" s="30" r="F1083">
        <v>4</v>
      </c>
      <c t="s" s="30" r="G1083">
        <v>237</v>
      </c>
      <c t="str" s="12" r="H1083">
        <f>HYPERLINK("http://sofifa.com/en/fifa13winter/player/149592-rachid-ghezzal","R. Ghezzal")</f>
        <v>R. Ghezzal</v>
      </c>
      <c s="30" r="I1083">
        <v>69</v>
      </c>
      <c t="s" s="30" r="J1083">
        <v>170</v>
      </c>
      <c t="s" s="30" r="K1083">
        <v>143</v>
      </c>
      <c t="s" s="30" r="L1083">
        <v>149</v>
      </c>
      <c s="30" r="M1083">
        <v>20</v>
      </c>
      <c s="26" r="N1083">
        <v>2.1</v>
      </c>
      <c s="23" r="O1083">
        <v>0.005</v>
      </c>
      <c s="7" r="P1083"/>
      <c s="7" r="Q1083"/>
      <c s="7" r="R1083">
        <f>IF((P1083&gt;0),O1083,0)</f>
        <v>0</v>
      </c>
      <c t="str" r="S1083">
        <f>CONCATENATE(F1083,E1083)</f>
        <v>NON FTLNON FTL</v>
      </c>
    </row>
    <row r="1084">
      <c t="s" s="7" r="A1084">
        <v>201</v>
      </c>
      <c s="7" r="B1084">
        <v>1111</v>
      </c>
      <c s="30" r="C1084">
        <v>36</v>
      </c>
      <c t="s" s="30" r="D1084">
        <v>136</v>
      </c>
      <c t="s" s="30" r="E1084">
        <v>4</v>
      </c>
      <c t="s" s="30" r="F1084">
        <v>4</v>
      </c>
      <c t="s" s="30" r="G1084">
        <v>237</v>
      </c>
      <c t="str" s="12" r="H1084">
        <f>HYPERLINK("http://sofifa.com/en/fifa13winter/player/150055-clinton-njie","C. N'Jie")</f>
        <v>C. N'Jie</v>
      </c>
      <c s="30" r="I1084">
        <v>58</v>
      </c>
      <c t="s" s="30" r="J1084">
        <v>157</v>
      </c>
      <c t="s" s="30" r="K1084">
        <v>139</v>
      </c>
      <c t="s" s="30" r="L1084">
        <v>115</v>
      </c>
      <c s="30" r="M1084">
        <v>19</v>
      </c>
      <c s="26" r="N1084">
        <v>0.4</v>
      </c>
      <c s="23" r="O1084">
        <v>0.002</v>
      </c>
      <c s="7" r="P1084"/>
      <c s="7" r="Q1084"/>
      <c s="7" r="R1084">
        <f>IF((P1084&gt;0),O1084,0)</f>
        <v>0</v>
      </c>
      <c t="str" r="S1084">
        <f>CONCATENATE(F1084,E1084)</f>
        <v>NON FTLNON FTL</v>
      </c>
    </row>
    <row r="1085">
      <c t="s" s="7" r="A1085">
        <v>201</v>
      </c>
      <c s="7" r="B1085">
        <v>1112</v>
      </c>
      <c s="30" r="C1085">
        <v>27</v>
      </c>
      <c t="s" s="30" r="D1085">
        <v>136</v>
      </c>
      <c t="s" s="30" r="E1085">
        <v>4</v>
      </c>
      <c t="s" s="30" r="F1085">
        <v>4</v>
      </c>
      <c t="s" s="30" r="G1085">
        <v>237</v>
      </c>
      <c t="str" s="12" r="H1085">
        <f>HYPERLINK("http://sofifa.com/en/fifa13winter/player/149897-alassane-plea","A. Pléa")</f>
        <v>A. Pléa</v>
      </c>
      <c s="30" r="I1085">
        <v>63</v>
      </c>
      <c t="s" s="30" r="J1085">
        <v>157</v>
      </c>
      <c t="s" s="30" r="K1085">
        <v>114</v>
      </c>
      <c t="s" s="30" r="L1085">
        <v>146</v>
      </c>
      <c s="30" r="M1085">
        <v>19</v>
      </c>
      <c s="26" r="N1085">
        <v>1</v>
      </c>
      <c s="23" r="O1085">
        <v>0.003</v>
      </c>
      <c s="7" r="P1085"/>
      <c s="7" r="Q1085"/>
      <c s="7" r="R1085">
        <f>IF((P1085&gt;0),O1085,0)</f>
        <v>0</v>
      </c>
      <c t="str" r="S1085">
        <f>CONCATENATE(F1085,E1085)</f>
        <v>NON FTLNON FTL</v>
      </c>
    </row>
    <row r="1086">
      <c t="s" s="7" r="A1086">
        <v>201</v>
      </c>
      <c s="7" r="B1086">
        <v>1113</v>
      </c>
      <c s="30" r="C1086">
        <v>1</v>
      </c>
      <c t="s" s="30" r="D1086">
        <v>136</v>
      </c>
      <c t="s" s="30" r="E1086">
        <v>4</v>
      </c>
      <c t="s" s="30" r="F1086">
        <v>4</v>
      </c>
      <c t="s" s="30" r="G1086">
        <v>237</v>
      </c>
      <c t="str" s="12" r="H1086">
        <f>HYPERLINK("http://sofifa.com/en/fifa13winter/player/145257-remy-vercoutre","R. Vercoutre")</f>
        <v>R. Vercoutre</v>
      </c>
      <c s="30" r="I1086">
        <v>74</v>
      </c>
      <c t="s" s="30" r="J1086">
        <v>106</v>
      </c>
      <c t="s" s="30" r="K1086">
        <v>132</v>
      </c>
      <c t="s" s="30" r="L1086">
        <v>161</v>
      </c>
      <c s="30" r="M1086">
        <v>32</v>
      </c>
      <c s="26" r="N1086">
        <v>2.1</v>
      </c>
      <c s="23" r="O1086">
        <v>0.013</v>
      </c>
      <c s="7" r="P1086"/>
      <c s="7" r="Q1086"/>
      <c s="7" r="R1086">
        <f>IF((P1086&gt;0),O1086,0)</f>
        <v>0</v>
      </c>
      <c t="str" r="S1086">
        <f>CONCATENATE(F1086,E1086)</f>
        <v>NON FTLNON FTL</v>
      </c>
    </row>
    <row r="1087">
      <c t="s" s="7" r="A1087">
        <v>201</v>
      </c>
      <c s="7" r="B1087">
        <v>1114</v>
      </c>
      <c s="30" r="C1087">
        <v>5</v>
      </c>
      <c t="s" s="30" r="D1087">
        <v>136</v>
      </c>
      <c t="s" s="30" r="E1087">
        <v>4</v>
      </c>
      <c t="s" s="30" r="F1087">
        <v>4</v>
      </c>
      <c t="s" s="30" r="G1087">
        <v>237</v>
      </c>
      <c t="str" s="12" r="H1087">
        <f>HYPERLINK("http://sofifa.com/en/fifa13winter/player/148553-dejan-lovren","D. Lovren")</f>
        <v>D. Lovren</v>
      </c>
      <c s="30" r="I1087">
        <v>78</v>
      </c>
      <c t="s" s="30" r="J1087">
        <v>113</v>
      </c>
      <c t="s" s="30" r="K1087">
        <v>134</v>
      </c>
      <c t="s" s="30" r="L1087">
        <v>156</v>
      </c>
      <c s="30" r="M1087">
        <v>23</v>
      </c>
      <c s="26" r="N1087">
        <v>7.2</v>
      </c>
      <c s="23" r="O1087">
        <v>0.018</v>
      </c>
      <c s="7" r="P1087"/>
      <c s="7" r="Q1087"/>
      <c s="7" r="R1087">
        <f>IF((P1087&gt;0),O1087,0)</f>
        <v>0</v>
      </c>
      <c t="str" r="S1087">
        <f>CONCATENATE(F1087,E1087)</f>
        <v>NON FTLNON FTL</v>
      </c>
    </row>
    <row r="1088">
      <c t="s" s="7" r="A1088">
        <v>201</v>
      </c>
      <c s="7" r="B1088">
        <v>1115</v>
      </c>
      <c s="30" r="C1088">
        <v>19</v>
      </c>
      <c t="s" s="30" r="D1088">
        <v>136</v>
      </c>
      <c t="s" s="30" r="E1088">
        <v>4</v>
      </c>
      <c t="s" s="30" r="F1088">
        <v>4</v>
      </c>
      <c t="s" s="30" r="G1088">
        <v>237</v>
      </c>
      <c t="str" s="12" r="H1088">
        <f>HYPERLINK("http://sofifa.com/en/fifa13winter/player/147120-jimmy-briand","J. Briand")</f>
        <v>J. Briand</v>
      </c>
      <c s="30" r="I1088">
        <v>75</v>
      </c>
      <c t="s" s="30" r="J1088">
        <v>157</v>
      </c>
      <c t="s" s="30" r="K1088">
        <v>150</v>
      </c>
      <c t="s" s="30" r="L1088">
        <v>193</v>
      </c>
      <c s="30" r="M1088">
        <v>27</v>
      </c>
      <c s="26" r="N1088">
        <v>4.4</v>
      </c>
      <c s="23" r="O1088">
        <v>0.013</v>
      </c>
      <c s="7" r="P1088"/>
      <c s="7" r="Q1088"/>
      <c s="7" r="R1088">
        <f>IF((P1088&gt;0),O1088,0)</f>
        <v>0</v>
      </c>
      <c t="str" r="S1088">
        <f>CONCATENATE(F1088,E1088)</f>
        <v>NON FTLNON FTL</v>
      </c>
    </row>
    <row r="1089">
      <c t="s" s="7" r="A1089">
        <v>201</v>
      </c>
      <c s="7" r="B1089">
        <v>1116</v>
      </c>
      <c s="30" r="C1089">
        <v>6</v>
      </c>
      <c t="s" s="30" r="D1089">
        <v>136</v>
      </c>
      <c t="s" s="30" r="E1089">
        <v>4</v>
      </c>
      <c t="s" s="30" r="F1089">
        <v>4</v>
      </c>
      <c t="s" s="30" r="G1089">
        <v>237</v>
      </c>
      <c t="str" s="12" r="H1089">
        <f>HYPERLINK("http://sofifa.com/en/fifa13winter/player/149233-gueida-fofana","G. Fofana")</f>
        <v>G. Fofana</v>
      </c>
      <c s="30" r="I1089">
        <v>73</v>
      </c>
      <c t="s" s="30" r="J1089">
        <v>154</v>
      </c>
      <c t="s" s="30" r="K1089">
        <v>143</v>
      </c>
      <c t="s" s="30" r="L1089">
        <v>160</v>
      </c>
      <c s="30" r="M1089">
        <v>21</v>
      </c>
      <c s="26" r="N1089">
        <v>3.1</v>
      </c>
      <c s="23" r="O1089">
        <v>0.009</v>
      </c>
      <c s="7" r="P1089"/>
      <c s="7" r="Q1089"/>
      <c s="7" r="R1089">
        <f>IF((P1089&gt;0),O1089,0)</f>
        <v>0</v>
      </c>
      <c t="str" r="S1089">
        <f>CONCATENATE(F1089,E1089)</f>
        <v>NON FTLNON FTL</v>
      </c>
    </row>
    <row r="1090">
      <c t="s" s="7" r="A1090">
        <v>201</v>
      </c>
      <c s="7" r="B1090">
        <v>1117</v>
      </c>
      <c s="30" r="C1090">
        <v>28</v>
      </c>
      <c t="s" s="30" r="D1090">
        <v>136</v>
      </c>
      <c t="s" s="30" r="E1090">
        <v>4</v>
      </c>
      <c t="s" s="30" r="F1090">
        <v>4</v>
      </c>
      <c t="s" s="30" r="G1090">
        <v>237</v>
      </c>
      <c t="str" s="12" r="H1090">
        <f>HYPERLINK("http://sofifa.com/en/fifa13winter/player/146934-arnold-mvuemba","A. Mvuemba")</f>
        <v>A. Mvuemba</v>
      </c>
      <c s="30" r="I1090">
        <v>74</v>
      </c>
      <c t="s" s="30" r="J1090">
        <v>154</v>
      </c>
      <c t="s" s="30" r="K1090">
        <v>187</v>
      </c>
      <c t="s" s="30" r="L1090">
        <v>163</v>
      </c>
      <c s="30" r="M1090">
        <v>27</v>
      </c>
      <c s="26" r="N1090">
        <v>3.1</v>
      </c>
      <c s="23" r="O1090">
        <v>0.011</v>
      </c>
      <c s="7" r="P1090"/>
      <c s="7" r="Q1090"/>
      <c s="7" r="R1090">
        <f>IF((P1090&gt;0),O1090,0)</f>
        <v>0</v>
      </c>
      <c t="str" r="S1090">
        <f>CONCATENATE(F1090,E1090)</f>
        <v>NON FTLNON FTL</v>
      </c>
    </row>
    <row r="1091">
      <c t="s" s="7" r="A1091">
        <v>201</v>
      </c>
      <c s="7" r="B1091">
        <v>1118</v>
      </c>
      <c s="30" r="C1091">
        <v>9</v>
      </c>
      <c t="s" s="30" r="D1091">
        <v>136</v>
      </c>
      <c t="s" s="30" r="E1091">
        <v>4</v>
      </c>
      <c t="s" s="30" r="F1091">
        <v>4</v>
      </c>
      <c t="s" s="30" r="G1091">
        <v>237</v>
      </c>
      <c t="str" s="12" r="H1091">
        <f>HYPERLINK("http://sofifa.com/en/fifa13winter/player/146236-lisandro-lopez","L. López")</f>
        <v>L. López</v>
      </c>
      <c s="30" r="I1091">
        <v>80</v>
      </c>
      <c t="s" s="30" r="J1091">
        <v>129</v>
      </c>
      <c t="s" s="30" r="K1091">
        <v>182</v>
      </c>
      <c t="s" s="30" r="L1091">
        <v>160</v>
      </c>
      <c s="30" r="M1091">
        <v>29</v>
      </c>
      <c s="26" r="N1091">
        <v>10.4</v>
      </c>
      <c s="23" r="O1091">
        <v>0.032</v>
      </c>
      <c s="7" r="P1091"/>
      <c s="7" r="Q1091"/>
      <c s="7" r="R1091">
        <f>IF((P1091&gt;0),O1091,0)</f>
        <v>0</v>
      </c>
      <c t="str" r="S1091">
        <f>CONCATENATE(F1091,E1091)</f>
        <v>NON FTLNON FTL</v>
      </c>
    </row>
    <row r="1092">
      <c t="s" s="7" r="A1092">
        <v>201</v>
      </c>
      <c s="7" r="B1092">
        <v>1119</v>
      </c>
      <c s="30" r="C1092">
        <v>40</v>
      </c>
      <c t="s" s="30" r="D1092">
        <v>147</v>
      </c>
      <c t="s" s="30" r="E1092">
        <v>4</v>
      </c>
      <c t="s" s="30" r="F1092">
        <v>4</v>
      </c>
      <c t="s" s="30" r="G1092">
        <v>237</v>
      </c>
      <c t="str" s="12" r="H1092">
        <f>HYPERLINK("http://sofifa.com/en/fifa13winter/player/148949-mathieu-gorgelin","M. Gorgelin")</f>
        <v>M. Gorgelin</v>
      </c>
      <c s="30" r="I1092">
        <v>58</v>
      </c>
      <c t="s" s="30" r="J1092">
        <v>106</v>
      </c>
      <c t="s" s="30" r="K1092">
        <v>155</v>
      </c>
      <c t="s" s="30" r="L1092">
        <v>108</v>
      </c>
      <c s="30" r="M1092">
        <v>22</v>
      </c>
      <c s="26" r="N1092">
        <v>0.3</v>
      </c>
      <c s="23" r="O1092">
        <v>0.002</v>
      </c>
      <c s="7" r="P1092"/>
      <c s="7" r="Q1092"/>
      <c s="7" r="R1092">
        <f>IF((P1092&gt;0),O1092,0)</f>
        <v>0</v>
      </c>
      <c t="str" r="S1092">
        <f>CONCATENATE(F1092,E1092)</f>
        <v>NON FTLNON FTL</v>
      </c>
    </row>
    <row r="1093">
      <c t="s" s="7" r="A1093">
        <v>201</v>
      </c>
      <c s="7" r="B1093">
        <v>1120</v>
      </c>
      <c s="30" r="C1093">
        <v>35</v>
      </c>
      <c t="s" s="30" r="D1093">
        <v>147</v>
      </c>
      <c t="s" s="30" r="E1093">
        <v>4</v>
      </c>
      <c t="s" s="30" r="F1093">
        <v>4</v>
      </c>
      <c t="s" s="30" r="G1093">
        <v>237</v>
      </c>
      <c t="str" s="12" r="H1093">
        <f>HYPERLINK("http://sofifa.com/en/fifa13winter/player/150597-zakarie-labidi","Z. Labidi")</f>
        <v>Z. Labidi</v>
      </c>
      <c s="30" r="I1093">
        <v>60</v>
      </c>
      <c t="s" s="30" r="J1093">
        <v>162</v>
      </c>
      <c t="s" s="30" r="K1093">
        <v>118</v>
      </c>
      <c t="s" s="30" r="L1093">
        <v>142</v>
      </c>
      <c s="30" r="M1093">
        <v>17</v>
      </c>
      <c s="26" r="N1093">
        <v>0.7</v>
      </c>
      <c s="23" r="O1093">
        <v>0.002</v>
      </c>
      <c s="7" r="P1093"/>
      <c s="7" r="Q1093"/>
      <c s="7" r="R1093">
        <f>IF((P1093&gt;0),O1093,0)</f>
        <v>0</v>
      </c>
      <c t="str" r="S1093">
        <f>CONCATENATE(F1093,E1093)</f>
        <v>NON FTLNON FTL</v>
      </c>
    </row>
    <row r="1094">
      <c t="s" s="7" r="A1094">
        <v>201</v>
      </c>
      <c s="7" r="B1094">
        <v>1121</v>
      </c>
      <c s="30" r="C1094">
        <v>26</v>
      </c>
      <c t="s" s="30" r="D1094">
        <v>147</v>
      </c>
      <c t="s" s="30" r="E1094">
        <v>4</v>
      </c>
      <c t="s" s="30" r="F1094">
        <v>4</v>
      </c>
      <c t="s" s="30" r="G1094">
        <v>237</v>
      </c>
      <c t="str" s="12" r="H1094">
        <f>HYPERLINK("http://sofifa.com/en/fifa13winter/player/150897-anthony-martial","A. Martial")</f>
        <v>A. Martial</v>
      </c>
      <c s="30" r="I1094">
        <v>59</v>
      </c>
      <c t="s" s="30" r="J1094">
        <v>129</v>
      </c>
      <c t="s" s="30" r="K1094">
        <v>150</v>
      </c>
      <c t="s" s="30" r="L1094">
        <v>137</v>
      </c>
      <c s="30" r="M1094">
        <v>16</v>
      </c>
      <c s="26" r="N1094">
        <v>0.6</v>
      </c>
      <c s="23" r="O1094">
        <v>0.002</v>
      </c>
      <c s="7" r="P1094"/>
      <c s="7" r="Q1094"/>
      <c s="7" r="R1094">
        <f>IF((P1094&gt;0),O1094,0)</f>
        <v>0</v>
      </c>
      <c t="str" r="S1094">
        <f>CONCATENATE(F1094,E1094)</f>
        <v>NON FTLNON FTL</v>
      </c>
    </row>
    <row r="1095">
      <c t="s" s="7" r="A1095">
        <v>201</v>
      </c>
      <c s="7" r="B1095">
        <v>1122</v>
      </c>
      <c s="30" r="C1095">
        <v>41</v>
      </c>
      <c t="s" s="30" r="D1095">
        <v>147</v>
      </c>
      <c t="s" s="30" r="E1095">
        <v>4</v>
      </c>
      <c t="s" s="30" r="F1095">
        <v>4</v>
      </c>
      <c t="s" s="30" r="G1095">
        <v>237</v>
      </c>
      <c t="str" s="12" r="H1095">
        <f>HYPERLINK("http://sofifa.com/en/fifa13winter/player/149485-maxime-blanc","M. Blanc")</f>
        <v>M. Blanc</v>
      </c>
      <c s="30" r="I1095">
        <v>60</v>
      </c>
      <c t="s" s="30" r="J1095">
        <v>162</v>
      </c>
      <c t="s" s="30" r="K1095">
        <v>231</v>
      </c>
      <c t="s" s="30" r="L1095">
        <v>202</v>
      </c>
      <c s="30" r="M1095">
        <v>20</v>
      </c>
      <c s="26" r="N1095">
        <v>0.6</v>
      </c>
      <c s="23" r="O1095">
        <v>0.003</v>
      </c>
      <c s="7" r="P1095"/>
      <c s="7" r="Q1095"/>
      <c s="7" r="R1095">
        <f>IF((P1095&gt;0),O1095,0)</f>
        <v>0</v>
      </c>
      <c t="str" r="S1095">
        <f>CONCATENATE(F1095,E1095)</f>
        <v>NON FTLNON FTL</v>
      </c>
    </row>
    <row r="1096">
      <c t="s" s="7" r="A1096">
        <v>201</v>
      </c>
      <c s="7" r="B1096">
        <v>1123</v>
      </c>
      <c s="30" r="C1096">
        <v>2</v>
      </c>
      <c t="s" s="30" r="D1096">
        <v>147</v>
      </c>
      <c t="s" s="30" r="E1096">
        <v>4</v>
      </c>
      <c t="s" s="30" r="F1096">
        <v>4</v>
      </c>
      <c t="s" s="30" r="G1096">
        <v>237</v>
      </c>
      <c t="str" s="12" r="H1096">
        <f>HYPERLINK("http://sofifa.com/en/fifa13winter/player/149602-mehdi-zeffane","M. Zeffane")</f>
        <v>M. Zeffane</v>
      </c>
      <c s="30" r="I1096">
        <v>60</v>
      </c>
      <c t="s" s="30" r="J1096">
        <v>109</v>
      </c>
      <c t="s" s="30" r="K1096">
        <v>182</v>
      </c>
      <c t="s" s="30" r="L1096">
        <v>168</v>
      </c>
      <c s="30" r="M1096">
        <v>20</v>
      </c>
      <c s="26" r="N1096">
        <v>0.5</v>
      </c>
      <c s="23" r="O1096">
        <v>0.003</v>
      </c>
      <c s="7" r="P1096"/>
      <c s="7" r="Q1096"/>
      <c s="7" r="R1096">
        <f>IF((P1096&gt;0),O1096,0)</f>
        <v>0</v>
      </c>
      <c t="str" r="S1096">
        <f>CONCATENATE(F1096,E1096)</f>
        <v>NON FTLNON FTL</v>
      </c>
    </row>
    <row r="1097">
      <c t="s" s="7" r="A1097">
        <v>201</v>
      </c>
      <c s="7" r="B1097">
        <v>1124</v>
      </c>
      <c s="30" r="C1097">
        <v>37</v>
      </c>
      <c t="s" s="30" r="D1097">
        <v>147</v>
      </c>
      <c t="s" s="30" r="E1097">
        <v>4</v>
      </c>
      <c t="s" s="30" r="F1097">
        <v>4</v>
      </c>
      <c t="s" s="30" r="G1097">
        <v>237</v>
      </c>
      <c t="str" s="12" r="H1097">
        <f>HYPERLINK("http://sofifa.com/en/fifa13winter/player/149805-amos-youga","A. Youga")</f>
        <v>A. Youga</v>
      </c>
      <c s="30" r="I1097">
        <v>55</v>
      </c>
      <c t="s" s="30" r="J1097">
        <v>113</v>
      </c>
      <c t="s" s="30" r="K1097">
        <v>173</v>
      </c>
      <c t="s" s="30" r="L1097">
        <v>108</v>
      </c>
      <c s="30" r="M1097">
        <v>19</v>
      </c>
      <c s="26" r="N1097">
        <v>0.1</v>
      </c>
      <c s="23" r="O1097">
        <v>0.002</v>
      </c>
      <c s="7" r="P1097"/>
      <c s="7" r="Q1097"/>
      <c s="7" r="R1097">
        <f>IF((P1097&gt;0),O1097,0)</f>
        <v>0</v>
      </c>
      <c t="str" r="S1097">
        <f>CONCATENATE(F1097,E1097)</f>
        <v>NON FTLNON FTL</v>
      </c>
    </row>
    <row r="1098">
      <c t="s" s="7" r="A1098">
        <v>201</v>
      </c>
      <c s="7" r="B1098">
        <v>1125</v>
      </c>
      <c s="30" r="C1098">
        <v>50</v>
      </c>
      <c t="s" s="30" r="D1098">
        <v>147</v>
      </c>
      <c t="s" s="30" r="E1098">
        <v>4</v>
      </c>
      <c t="s" s="30" r="F1098">
        <v>4</v>
      </c>
      <c t="s" s="30" r="G1098">
        <v>237</v>
      </c>
      <c t="str" s="12" r="H1098">
        <f>HYPERLINK("http://sofifa.com/en/fifa13winter/player/149895-jeremy-frick","J. Frick")</f>
        <v>J. Frick</v>
      </c>
      <c s="30" r="I1098">
        <v>58</v>
      </c>
      <c t="s" s="30" r="J1098">
        <v>106</v>
      </c>
      <c t="s" s="30" r="K1098">
        <v>165</v>
      </c>
      <c t="s" s="30" r="L1098">
        <v>175</v>
      </c>
      <c s="30" r="M1098">
        <v>19</v>
      </c>
      <c s="26" r="N1098">
        <v>0.3</v>
      </c>
      <c s="23" r="O1098">
        <v>0.002</v>
      </c>
      <c s="7" r="P1098"/>
      <c s="7" r="Q1098"/>
      <c s="7" r="R1098">
        <f>IF((P1098&gt;0),O1098,0)</f>
        <v>0</v>
      </c>
      <c t="str" r="S1098">
        <f>CONCATENATE(F1098,E1098)</f>
        <v>NON FTLNON FTL</v>
      </c>
    </row>
    <row r="1099">
      <c t="s" s="7" r="A1099">
        <v>201</v>
      </c>
      <c s="7" r="B1099">
        <v>1126</v>
      </c>
      <c s="30" r="C1099">
        <v>33</v>
      </c>
      <c t="s" s="30" r="D1099">
        <v>147</v>
      </c>
      <c t="s" s="30" r="E1099">
        <v>4</v>
      </c>
      <c t="s" s="30" r="F1099">
        <v>4</v>
      </c>
      <c t="s" s="30" r="G1099">
        <v>237</v>
      </c>
      <c t="str" s="12" r="H1099">
        <f>HYPERLINK("http://sofifa.com/en/fifa13winter/player/148412-loic-abenzoar","L. Abenzoar")</f>
        <v>L. Abenzoar</v>
      </c>
      <c s="30" r="I1099">
        <v>60</v>
      </c>
      <c t="s" s="30" r="J1099">
        <v>113</v>
      </c>
      <c t="s" s="30" r="K1099">
        <v>110</v>
      </c>
      <c t="s" s="30" r="L1099">
        <v>137</v>
      </c>
      <c s="30" r="M1099">
        <v>23</v>
      </c>
      <c s="26" r="N1099">
        <v>0.5</v>
      </c>
      <c s="23" r="O1099">
        <v>0.003</v>
      </c>
      <c s="7" r="P1099"/>
      <c s="7" r="Q1099"/>
      <c s="7" r="R1099">
        <f>IF((P1099&gt;0),O1099,0)</f>
        <v>0</v>
      </c>
      <c t="str" r="S1099">
        <f>CONCATENATE(F1099,E1099)</f>
        <v>NON FTLNON FTL</v>
      </c>
    </row>
    <row r="1100">
      <c t="s" s="7" r="A1100">
        <v>201</v>
      </c>
      <c s="7" r="B1100">
        <v>1127</v>
      </c>
      <c s="30" r="C1100">
        <v>22</v>
      </c>
      <c t="s" s="30" r="D1100">
        <v>147</v>
      </c>
      <c t="s" s="30" r="E1100">
        <v>4</v>
      </c>
      <c t="s" s="30" r="F1100">
        <v>4</v>
      </c>
      <c t="s" s="30" r="G1100">
        <v>237</v>
      </c>
      <c t="str" s="12" r="H1100">
        <f>HYPERLINK("http://sofifa.com/en/fifa13winter/player/149620-sidy-kone","S. Koné")</f>
        <v>S. Koné</v>
      </c>
      <c s="30" r="I1100">
        <v>62</v>
      </c>
      <c t="s" s="30" r="J1100">
        <v>154</v>
      </c>
      <c t="s" s="30" r="K1100">
        <v>132</v>
      </c>
      <c t="s" s="30" r="L1100">
        <v>119</v>
      </c>
      <c s="30" r="M1100">
        <v>20</v>
      </c>
      <c s="26" r="N1100">
        <v>0.7</v>
      </c>
      <c s="23" r="O1100">
        <v>0.003</v>
      </c>
      <c s="7" r="P1100"/>
      <c s="7" r="Q1100"/>
      <c s="7" r="R1100">
        <f>IF((P1100&gt;0),O1100,0)</f>
        <v>0</v>
      </c>
      <c t="str" r="S1100">
        <f>CONCATENATE(F1100,E1100)</f>
        <v>NON FTLNON FTL</v>
      </c>
    </row>
    <row r="1101">
      <c t="s" s="7" r="A1101">
        <v>201</v>
      </c>
      <c s="7" r="B1101">
        <v>1128</v>
      </c>
      <c s="30" r="C1101">
        <v>34</v>
      </c>
      <c t="s" s="30" r="D1101">
        <v>147</v>
      </c>
      <c t="s" s="30" r="E1101">
        <v>4</v>
      </c>
      <c t="s" s="30" r="F1101">
        <v>4</v>
      </c>
      <c t="s" s="30" r="G1101">
        <v>237</v>
      </c>
      <c t="str" s="12" r="H1101">
        <f>HYPERLINK("http://sofifa.com/en/fifa13winter/player/150656-fares-bahlouli","F. Bahlouli")</f>
        <v>F. Bahlouli</v>
      </c>
      <c s="30" r="I1101">
        <v>54</v>
      </c>
      <c t="s" s="30" r="J1101">
        <v>162</v>
      </c>
      <c t="s" s="30" r="K1101">
        <v>150</v>
      </c>
      <c t="s" s="30" r="L1101">
        <v>161</v>
      </c>
      <c s="30" r="M1101">
        <v>17</v>
      </c>
      <c s="26" r="N1101">
        <v>0.1</v>
      </c>
      <c s="23" r="O1101">
        <v>0.001</v>
      </c>
      <c s="7" r="P1101"/>
      <c s="7" r="Q1101"/>
      <c s="7" r="R1101">
        <f>IF((P1101&gt;0),O1101,0)</f>
        <v>0</v>
      </c>
      <c t="str" r="S1101">
        <f>CONCATENATE(F1101,E1101)</f>
        <v>NON FTLNON FTL</v>
      </c>
    </row>
    <row r="1102">
      <c t="s" s="7" r="A1102">
        <v>201</v>
      </c>
      <c s="7" r="B1102">
        <v>1129</v>
      </c>
      <c s="30" r="C1102">
        <v>31</v>
      </c>
      <c t="s" s="30" r="D1102">
        <v>106</v>
      </c>
      <c t="s" s="30" r="E1102">
        <v>4</v>
      </c>
      <c t="s" s="30" r="F1102">
        <v>4</v>
      </c>
      <c t="s" s="30" r="G1102">
        <v>238</v>
      </c>
      <c t="str" s="12" r="H1102">
        <f>HYPERLINK("http://sofifa.com/en/fifa13winter/player/144181-andrey-dikan","A. Dikan")</f>
        <v>A. Dikan</v>
      </c>
      <c s="30" r="I1102">
        <v>78</v>
      </c>
      <c t="s" s="30" r="J1102">
        <v>106</v>
      </c>
      <c t="s" s="30" r="K1102">
        <v>165</v>
      </c>
      <c t="s" s="30" r="L1102">
        <v>192</v>
      </c>
      <c s="30" r="M1102">
        <v>35</v>
      </c>
      <c s="26" r="N1102">
        <v>3.2</v>
      </c>
      <c s="23" r="O1102">
        <v>0.024</v>
      </c>
      <c s="7" r="P1102"/>
      <c s="7" r="Q1102"/>
      <c s="7" r="R1102">
        <f>IF((P1102&gt;0),O1102,0)</f>
        <v>0</v>
      </c>
      <c t="str" r="S1102">
        <f>CONCATENATE(F1102,E1102)</f>
        <v>NON FTLNON FTL</v>
      </c>
    </row>
    <row r="1103">
      <c t="s" s="7" r="A1103">
        <v>201</v>
      </c>
      <c s="7" r="B1103">
        <v>1130</v>
      </c>
      <c s="30" r="C1103">
        <v>34</v>
      </c>
      <c t="s" s="30" r="D1103">
        <v>109</v>
      </c>
      <c t="s" s="30" r="E1103">
        <v>4</v>
      </c>
      <c t="s" s="30" r="F1103">
        <v>4</v>
      </c>
      <c t="s" s="30" r="G1103">
        <v>238</v>
      </c>
      <c t="str" s="12" r="H1103">
        <f>HYPERLINK("http://sofifa.com/en/fifa13winter/player/148572-evgeniy-makeev","E. Makeev")</f>
        <v>E. Makeev</v>
      </c>
      <c s="30" r="I1103">
        <v>70</v>
      </c>
      <c t="s" s="30" r="J1103">
        <v>109</v>
      </c>
      <c t="s" s="30" r="K1103">
        <v>150</v>
      </c>
      <c t="s" s="30" r="L1103">
        <v>119</v>
      </c>
      <c s="30" r="M1103">
        <v>23</v>
      </c>
      <c s="26" r="N1103">
        <v>1.8</v>
      </c>
      <c s="23" r="O1103">
        <v>0.006</v>
      </c>
      <c s="7" r="P1103"/>
      <c s="7" r="Q1103"/>
      <c s="7" r="R1103">
        <f>IF((P1103&gt;0),O1103,0)</f>
        <v>0</v>
      </c>
      <c t="str" r="S1103">
        <f>CONCATENATE(F1103,E1103)</f>
        <v>NON FTLNON FTL</v>
      </c>
    </row>
    <row r="1104">
      <c t="s" s="7" r="A1104">
        <v>201</v>
      </c>
      <c s="7" r="B1104">
        <v>1131</v>
      </c>
      <c s="30" r="C1104">
        <v>17</v>
      </c>
      <c t="s" s="30" r="D1104">
        <v>112</v>
      </c>
      <c t="s" s="30" r="E1104">
        <v>4</v>
      </c>
      <c t="s" s="30" r="F1104">
        <v>4</v>
      </c>
      <c t="s" s="30" r="G1104">
        <v>238</v>
      </c>
      <c t="str" s="12" r="H1104">
        <f>HYPERLINK("http://sofifa.com/en/fifa13winter/player/148090-marek-suchy","M. Suchý")</f>
        <v>M. Suchý</v>
      </c>
      <c s="30" r="I1104">
        <v>72</v>
      </c>
      <c t="s" s="30" r="J1104">
        <v>113</v>
      </c>
      <c t="s" s="30" r="K1104">
        <v>110</v>
      </c>
      <c t="s" s="30" r="L1104">
        <v>153</v>
      </c>
      <c s="30" r="M1104">
        <v>24</v>
      </c>
      <c s="26" r="N1104">
        <v>2.6</v>
      </c>
      <c s="23" r="O1104">
        <v>0.009</v>
      </c>
      <c s="7" r="P1104"/>
      <c s="7" r="Q1104"/>
      <c s="7" r="R1104">
        <f>IF((P1104&gt;0),O1104,0)</f>
        <v>0</v>
      </c>
      <c t="str" r="S1104">
        <f>CONCATENATE(F1104,E1104)</f>
        <v>NON FTLNON FTL</v>
      </c>
    </row>
    <row r="1105">
      <c t="s" s="7" r="A1105">
        <v>201</v>
      </c>
      <c s="7" r="B1105">
        <v>1132</v>
      </c>
      <c s="30" r="C1105">
        <v>33</v>
      </c>
      <c t="s" s="30" r="D1105">
        <v>116</v>
      </c>
      <c t="s" s="30" r="E1105">
        <v>4</v>
      </c>
      <c t="s" s="30" r="F1105">
        <v>4</v>
      </c>
      <c t="s" s="30" r="G1105">
        <v>238</v>
      </c>
      <c t="str" s="12" r="H1105">
        <f>HYPERLINK("http://sofifa.com/en/fifa13winter/player/147605-salvatore-bocchetti","S. Bocchetti")</f>
        <v>S. Bocchetti</v>
      </c>
      <c s="30" r="I1105">
        <v>78</v>
      </c>
      <c t="s" s="30" r="J1105">
        <v>113</v>
      </c>
      <c t="s" s="30" r="K1105">
        <v>173</v>
      </c>
      <c t="s" s="30" r="L1105">
        <v>183</v>
      </c>
      <c s="30" r="M1105">
        <v>25</v>
      </c>
      <c s="26" r="N1105">
        <v>6.4</v>
      </c>
      <c s="23" r="O1105">
        <v>0.019</v>
      </c>
      <c s="7" r="P1105"/>
      <c s="7" r="Q1105"/>
      <c s="7" r="R1105">
        <f>IF((P1105&gt;0),O1105,0)</f>
        <v>0</v>
      </c>
      <c t="str" r="S1105">
        <f>CONCATENATE(F1105,E1105)</f>
        <v>NON FTLNON FTL</v>
      </c>
    </row>
    <row r="1106">
      <c t="s" s="7" r="A1106">
        <v>201</v>
      </c>
      <c s="7" r="B1106">
        <v>1133</v>
      </c>
      <c s="30" r="C1106">
        <v>23</v>
      </c>
      <c t="s" s="30" r="D1106">
        <v>117</v>
      </c>
      <c t="s" s="30" r="E1106">
        <v>4</v>
      </c>
      <c t="s" s="30" r="F1106">
        <v>4</v>
      </c>
      <c t="s" s="30" r="G1106">
        <v>238</v>
      </c>
      <c t="str" s="12" r="H1106">
        <f>HYPERLINK("http://sofifa.com/en/fifa13winter/player/147658-dmitriy-kombarov","D. Kombarov")</f>
        <v>D. Kombarov</v>
      </c>
      <c s="30" r="I1106">
        <v>75</v>
      </c>
      <c t="s" s="30" r="J1106">
        <v>117</v>
      </c>
      <c t="s" s="30" r="K1106">
        <v>150</v>
      </c>
      <c t="s" s="30" r="L1106">
        <v>146</v>
      </c>
      <c s="30" r="M1106">
        <v>25</v>
      </c>
      <c s="26" r="N1106">
        <v>3.9</v>
      </c>
      <c s="23" r="O1106">
        <v>0.013</v>
      </c>
      <c s="7" r="P1106"/>
      <c s="7" r="Q1106"/>
      <c s="7" r="R1106">
        <f>IF((P1106&gt;0),O1106,0)</f>
        <v>0</v>
      </c>
      <c t="str" r="S1106">
        <f>CONCATENATE(F1106,E1106)</f>
        <v>NON FTLNON FTL</v>
      </c>
    </row>
    <row r="1107">
      <c t="s" s="7" r="A1107">
        <v>201</v>
      </c>
      <c s="7" r="B1107">
        <v>1134</v>
      </c>
      <c s="30" r="C1107">
        <v>6</v>
      </c>
      <c t="s" s="30" r="D1107">
        <v>186</v>
      </c>
      <c t="s" s="30" r="E1107">
        <v>4</v>
      </c>
      <c t="s" s="30" r="F1107">
        <v>4</v>
      </c>
      <c t="s" s="30" r="G1107">
        <v>238</v>
      </c>
      <c t="str" s="12" r="H1107">
        <f>HYPERLINK("http://sofifa.com/en/fifa13winter/player/148536-rafael-de-souza-pereira","Rafael Carioca")</f>
        <v>Rafael Carioca</v>
      </c>
      <c s="30" r="I1107">
        <v>77</v>
      </c>
      <c t="s" s="30" r="J1107">
        <v>154</v>
      </c>
      <c t="s" s="30" r="K1107">
        <v>145</v>
      </c>
      <c t="s" s="30" r="L1107">
        <v>160</v>
      </c>
      <c s="30" r="M1107">
        <v>23</v>
      </c>
      <c s="26" r="N1107">
        <v>5.6</v>
      </c>
      <c s="23" r="O1107">
        <v>0.016</v>
      </c>
      <c s="7" r="P1107"/>
      <c s="7" r="Q1107"/>
      <c s="7" r="R1107">
        <f>IF((P1107&gt;0),O1107,0)</f>
        <v>0</v>
      </c>
      <c t="str" r="S1107">
        <f>CONCATENATE(F1107,E1107)</f>
        <v>NON FTLNON FTL</v>
      </c>
    </row>
    <row r="1108">
      <c t="s" s="7" r="A1108">
        <v>201</v>
      </c>
      <c s="7" r="B1108">
        <v>1135</v>
      </c>
      <c s="30" r="C1108">
        <v>21</v>
      </c>
      <c t="s" s="30" r="D1108">
        <v>174</v>
      </c>
      <c t="s" s="30" r="E1108">
        <v>4</v>
      </c>
      <c t="s" s="30" r="F1108">
        <v>4</v>
      </c>
      <c t="s" s="30" r="G1108">
        <v>238</v>
      </c>
      <c t="str" s="12" r="H1108">
        <f>HYPERLINK("http://sofifa.com/en/fifa13winter/player/146046-kim-kallstrom","K. Källström")</f>
        <v>K. Källström</v>
      </c>
      <c s="30" r="I1108">
        <v>75</v>
      </c>
      <c t="s" s="30" r="J1108">
        <v>154</v>
      </c>
      <c t="s" s="30" r="K1108">
        <v>150</v>
      </c>
      <c t="s" s="30" r="L1108">
        <v>158</v>
      </c>
      <c s="30" r="M1108">
        <v>30</v>
      </c>
      <c s="26" r="N1108">
        <v>3.3</v>
      </c>
      <c s="23" r="O1108">
        <v>0.014</v>
      </c>
      <c s="7" r="P1108"/>
      <c s="7" r="Q1108"/>
      <c s="7" r="R1108">
        <f>IF((P1108&gt;0),O1108,0)</f>
        <v>0</v>
      </c>
      <c t="str" r="S1108">
        <f>CONCATENATE(F1108,E1108)</f>
        <v>NON FTLNON FTL</v>
      </c>
    </row>
    <row r="1109">
      <c t="s" s="7" r="A1109">
        <v>201</v>
      </c>
      <c s="7" r="B1109">
        <v>1136</v>
      </c>
      <c s="30" r="C1109">
        <v>8</v>
      </c>
      <c t="s" s="30" r="D1109">
        <v>234</v>
      </c>
      <c t="s" s="30" r="E1109">
        <v>4</v>
      </c>
      <c t="s" s="30" r="F1109">
        <v>4</v>
      </c>
      <c t="s" s="30" r="G1109">
        <v>238</v>
      </c>
      <c t="str" s="12" r="H1109">
        <f>HYPERLINK("http://sofifa.com/en/fifa13winter/player/147365-aiden-mcgeady","A. McGeady")</f>
        <v>A. McGeady</v>
      </c>
      <c s="30" r="I1109">
        <v>79</v>
      </c>
      <c t="s" s="30" r="J1109">
        <v>120</v>
      </c>
      <c t="s" s="30" r="K1109">
        <v>114</v>
      </c>
      <c t="s" s="30" r="L1109">
        <v>119</v>
      </c>
      <c s="30" r="M1109">
        <v>26</v>
      </c>
      <c s="26" r="N1109">
        <v>8.4</v>
      </c>
      <c s="23" r="O1109">
        <v>0.022</v>
      </c>
      <c s="7" r="P1109"/>
      <c s="7" r="Q1109"/>
      <c s="7" r="R1109">
        <f>IF((P1109&gt;0),O1109,0)</f>
        <v>0</v>
      </c>
      <c t="str" r="S1109">
        <f>CONCATENATE(F1109,E1109)</f>
        <v>NON FTLNON FTL</v>
      </c>
    </row>
    <row r="1110">
      <c t="s" s="7" r="A1110">
        <v>201</v>
      </c>
      <c s="7" r="B1110">
        <v>1137</v>
      </c>
      <c s="30" r="C1110">
        <v>19</v>
      </c>
      <c t="s" s="30" r="D1110">
        <v>162</v>
      </c>
      <c t="s" s="30" r="E1110">
        <v>4</v>
      </c>
      <c t="s" s="30" r="F1110">
        <v>4</v>
      </c>
      <c t="s" s="30" r="G1110">
        <v>238</v>
      </c>
      <c t="str" s="12" r="H1110">
        <f>HYPERLINK("http://sofifa.com/en/fifa13winter/player/147451-jose-manuel-jurado-marin","Jurado")</f>
        <v>Jurado</v>
      </c>
      <c s="30" r="I1110">
        <v>76</v>
      </c>
      <c t="s" s="30" r="J1110">
        <v>162</v>
      </c>
      <c t="s" s="30" r="K1110">
        <v>172</v>
      </c>
      <c t="s" s="30" r="L1110">
        <v>146</v>
      </c>
      <c s="30" r="M1110">
        <v>26</v>
      </c>
      <c s="26" r="N1110">
        <v>6</v>
      </c>
      <c s="23" r="O1110">
        <v>0.015</v>
      </c>
      <c s="7" r="P1110"/>
      <c s="7" r="Q1110"/>
      <c s="7" r="R1110">
        <f>IF((P1110&gt;0),O1110,0)</f>
        <v>0</v>
      </c>
      <c t="str" r="S1110">
        <f>CONCATENATE(F1110,E1110)</f>
        <v>NON FTLNON FTL</v>
      </c>
    </row>
    <row r="1111">
      <c t="s" s="7" r="A1111">
        <v>201</v>
      </c>
      <c s="7" r="B1111">
        <v>1138</v>
      </c>
      <c s="30" r="C1111">
        <v>9</v>
      </c>
      <c t="s" s="30" r="D1111">
        <v>235</v>
      </c>
      <c t="s" s="30" r="E1111">
        <v>4</v>
      </c>
      <c t="s" s="30" r="F1111">
        <v>4</v>
      </c>
      <c t="s" s="30" r="G1111">
        <v>238</v>
      </c>
      <c t="str" s="12" r="H1111">
        <f>HYPERLINK("http://sofifa.com/en/fifa13winter/player/147251-ariclenes-da-silva-ferreira","Ari")</f>
        <v>Ari</v>
      </c>
      <c s="30" r="I1111">
        <v>76</v>
      </c>
      <c t="s" s="30" r="J1111">
        <v>171</v>
      </c>
      <c t="s" s="30" r="K1111">
        <v>114</v>
      </c>
      <c t="s" s="30" r="L1111">
        <v>179</v>
      </c>
      <c s="30" r="M1111">
        <v>26</v>
      </c>
      <c s="26" r="N1111">
        <v>5.8</v>
      </c>
      <c s="23" r="O1111">
        <v>0.015</v>
      </c>
      <c s="7" r="P1111"/>
      <c s="7" r="Q1111"/>
      <c s="7" r="R1111">
        <f>IF((P1111&gt;0),O1111,0)</f>
        <v>0</v>
      </c>
      <c t="str" r="S1111">
        <f>CONCATENATE(F1111,E1111)</f>
        <v>NON FTLNON FTL</v>
      </c>
    </row>
    <row r="1112">
      <c t="s" s="7" r="A1112">
        <v>201</v>
      </c>
      <c s="7" r="B1112">
        <v>1139</v>
      </c>
      <c s="30" r="C1112">
        <v>10</v>
      </c>
      <c t="s" s="30" r="D1112">
        <v>129</v>
      </c>
      <c t="s" s="30" r="E1112">
        <v>4</v>
      </c>
      <c t="s" s="30" r="F1112">
        <v>4</v>
      </c>
      <c t="s" s="30" r="G1112">
        <v>238</v>
      </c>
      <c t="str" s="12" r="H1112">
        <f>HYPERLINK("http://sofifa.com/en/fifa13winter/player/148236-artem-dzyuba","A. Dzyuba")</f>
        <v>A. Dzyuba</v>
      </c>
      <c s="30" r="I1112">
        <v>74</v>
      </c>
      <c t="s" s="30" r="J1112">
        <v>162</v>
      </c>
      <c t="s" s="30" r="K1112">
        <v>188</v>
      </c>
      <c t="s" s="30" r="L1112">
        <v>185</v>
      </c>
      <c s="30" r="M1112">
        <v>24</v>
      </c>
      <c s="26" r="N1112">
        <v>4.3</v>
      </c>
      <c s="23" r="O1112">
        <v>0.011</v>
      </c>
      <c s="7" r="P1112"/>
      <c s="7" r="Q1112"/>
      <c s="7" r="R1112">
        <f>IF((P1112&gt;0),O1112,0)</f>
        <v>0</v>
      </c>
      <c t="str" r="S1112">
        <f>CONCATENATE(F1112,E1112)</f>
        <v>NON FTLNON FTL</v>
      </c>
    </row>
    <row r="1113">
      <c t="s" s="7" r="A1113">
        <v>201</v>
      </c>
      <c s="7" r="B1113">
        <v>1140</v>
      </c>
      <c s="30" r="C1113">
        <v>28</v>
      </c>
      <c t="s" s="30" r="D1113">
        <v>136</v>
      </c>
      <c t="s" s="30" r="E1113">
        <v>4</v>
      </c>
      <c t="s" s="30" r="F1113">
        <v>4</v>
      </c>
      <c t="s" s="30" r="G1113">
        <v>238</v>
      </c>
      <c t="str" s="12" r="H1113">
        <f>HYPERLINK("http://sofifa.com/en/fifa13winter/player/149359-abdul-majeed-waris","A. Waris")</f>
        <v>A. Waris</v>
      </c>
      <c s="30" r="I1113">
        <v>71</v>
      </c>
      <c t="s" s="30" r="J1113">
        <v>129</v>
      </c>
      <c t="s" s="30" r="K1113">
        <v>187</v>
      </c>
      <c t="s" s="30" r="L1113">
        <v>146</v>
      </c>
      <c s="30" r="M1113">
        <v>20</v>
      </c>
      <c s="26" r="N1113">
        <v>3.4</v>
      </c>
      <c s="23" r="O1113">
        <v>0.007</v>
      </c>
      <c s="7" r="P1113"/>
      <c s="7" r="Q1113"/>
      <c s="7" r="R1113">
        <f>IF((P1113&gt;0),O1113,0)</f>
        <v>0</v>
      </c>
      <c t="str" r="S1113">
        <f>CONCATENATE(F1113,E1113)</f>
        <v>NON FTLNON FTL</v>
      </c>
    </row>
    <row r="1114">
      <c t="s" s="7" r="A1114">
        <v>201</v>
      </c>
      <c s="7" r="B1114">
        <v>1141</v>
      </c>
      <c s="30" r="C1114">
        <v>37</v>
      </c>
      <c t="s" s="30" r="D1114">
        <v>136</v>
      </c>
      <c t="s" s="30" r="E1114">
        <v>4</v>
      </c>
      <c t="s" s="30" r="F1114">
        <v>4</v>
      </c>
      <c t="s" s="30" r="G1114">
        <v>238</v>
      </c>
      <c t="str" s="12" r="H1114">
        <f>HYPERLINK("http://sofifa.com/en/fifa13winter/player/148994-romulo-borges-monteiro","Rômulo")</f>
        <v>Rômulo</v>
      </c>
      <c s="30" r="I1114">
        <v>76</v>
      </c>
      <c t="s" s="30" r="J1114">
        <v>154</v>
      </c>
      <c t="s" s="30" r="K1114">
        <v>155</v>
      </c>
      <c t="s" s="30" r="L1114">
        <v>193</v>
      </c>
      <c s="30" r="M1114">
        <v>21</v>
      </c>
      <c s="26" r="N1114">
        <v>5</v>
      </c>
      <c s="23" r="O1114">
        <v>0.013</v>
      </c>
      <c s="7" r="P1114"/>
      <c s="7" r="Q1114"/>
      <c s="7" r="R1114">
        <f>IF((P1114&gt;0),O1114,0)</f>
        <v>0</v>
      </c>
      <c t="str" r="S1114">
        <f>CONCATENATE(F1114,E1114)</f>
        <v>NON FTLNON FTL</v>
      </c>
    </row>
    <row r="1115">
      <c t="s" s="7" r="A1115">
        <v>201</v>
      </c>
      <c s="7" r="B1115">
        <v>1142</v>
      </c>
      <c s="30" r="C1115">
        <v>49</v>
      </c>
      <c t="s" s="30" r="D1115">
        <v>136</v>
      </c>
      <c t="s" s="30" r="E1115">
        <v>4</v>
      </c>
      <c t="s" s="30" r="F1115">
        <v>4</v>
      </c>
      <c t="s" s="30" r="G1115">
        <v>238</v>
      </c>
      <c t="str" s="12" r="H1115">
        <f>HYPERLINK("http://sofifa.com/en/fifa13winter/player/149746-zhano-ananidze","Z. Ananidze")</f>
        <v>Z. Ananidze</v>
      </c>
      <c s="30" r="I1115">
        <v>75</v>
      </c>
      <c t="s" s="30" r="J1115">
        <v>162</v>
      </c>
      <c t="s" s="30" r="K1115">
        <v>121</v>
      </c>
      <c t="s" s="30" r="L1115">
        <v>140</v>
      </c>
      <c s="30" r="M1115">
        <v>19</v>
      </c>
      <c s="26" r="N1115">
        <v>5.4</v>
      </c>
      <c s="23" r="O1115">
        <v>0.01</v>
      </c>
      <c s="7" r="P1115"/>
      <c s="7" r="Q1115"/>
      <c s="7" r="R1115">
        <f>IF((P1115&gt;0),O1115,0)</f>
        <v>0</v>
      </c>
      <c t="str" r="S1115">
        <f>CONCATENATE(F1115,E1115)</f>
        <v>NON FTLNON FTL</v>
      </c>
    </row>
    <row r="1116">
      <c t="s" s="7" r="A1116">
        <v>201</v>
      </c>
      <c s="7" r="B1116">
        <v>1143</v>
      </c>
      <c s="30" r="C1116">
        <v>14</v>
      </c>
      <c t="s" s="30" r="D1116">
        <v>136</v>
      </c>
      <c t="s" s="30" r="E1116">
        <v>4</v>
      </c>
      <c t="s" s="30" r="F1116">
        <v>4</v>
      </c>
      <c t="s" s="30" r="G1116">
        <v>238</v>
      </c>
      <c t="str" s="12" r="H1116">
        <f>HYPERLINK("http://sofifa.com/en/fifa13winter/player/149194-pavel-yakovlev","P. Yakovlev")</f>
        <v>P. Yakovlev</v>
      </c>
      <c s="30" r="I1116">
        <v>71</v>
      </c>
      <c t="s" s="30" r="J1116">
        <v>170</v>
      </c>
      <c t="s" s="30" r="K1116">
        <v>114</v>
      </c>
      <c t="s" s="30" r="L1116">
        <v>146</v>
      </c>
      <c s="30" r="M1116">
        <v>21</v>
      </c>
      <c s="26" r="N1116">
        <v>2.7</v>
      </c>
      <c s="23" r="O1116">
        <v>0.007</v>
      </c>
      <c s="7" r="P1116"/>
      <c s="7" r="Q1116"/>
      <c s="7" r="R1116">
        <f>IF((P1116&gt;0),O1116,0)</f>
        <v>0</v>
      </c>
      <c t="str" r="S1116">
        <f>CONCATENATE(F1116,E1116)</f>
        <v>NON FTLNON FTL</v>
      </c>
    </row>
    <row r="1117">
      <c t="s" s="7" r="A1117">
        <v>201</v>
      </c>
      <c s="7" r="B1117">
        <v>1144</v>
      </c>
      <c s="30" r="C1117">
        <v>25</v>
      </c>
      <c t="s" s="30" r="D1117">
        <v>136</v>
      </c>
      <c t="s" s="30" r="E1117">
        <v>4</v>
      </c>
      <c t="s" s="30" r="F1117">
        <v>4</v>
      </c>
      <c t="s" s="30" r="G1117">
        <v>238</v>
      </c>
      <c t="str" s="12" r="H1117">
        <f>HYPERLINK("http://sofifa.com/en/fifa13winter/player/146964-diniyar-bilyaletdinov","D. Bilyaletdinov")</f>
        <v>D. Bilyaletdinov</v>
      </c>
      <c s="30" r="I1117">
        <v>76</v>
      </c>
      <c t="s" s="30" r="J1117">
        <v>128</v>
      </c>
      <c t="s" s="30" r="K1117">
        <v>173</v>
      </c>
      <c t="s" s="30" r="L1117">
        <v>138</v>
      </c>
      <c s="30" r="M1117">
        <v>27</v>
      </c>
      <c s="26" r="N1117">
        <v>5.3</v>
      </c>
      <c s="23" r="O1117">
        <v>0.015</v>
      </c>
      <c s="7" r="P1117"/>
      <c s="7" r="Q1117"/>
      <c s="7" r="R1117">
        <f>IF((P1117&gt;0),O1117,0)</f>
        <v>0</v>
      </c>
      <c t="str" r="S1117">
        <f>CONCATENATE(F1117,E1117)</f>
        <v>NON FTLNON FTL</v>
      </c>
    </row>
    <row r="1118">
      <c t="s" s="7" r="A1118">
        <v>201</v>
      </c>
      <c s="7" r="B1118">
        <v>1145</v>
      </c>
      <c s="30" r="C1118">
        <v>30</v>
      </c>
      <c t="s" s="30" r="D1118">
        <v>136</v>
      </c>
      <c t="s" s="30" r="E1118">
        <v>4</v>
      </c>
      <c t="s" s="30" r="F1118">
        <v>4</v>
      </c>
      <c t="s" s="30" r="G1118">
        <v>238</v>
      </c>
      <c t="str" s="12" r="H1118">
        <f>HYPERLINK("http://sofifa.com/en/fifa13winter/player/148352-sergey-pesyakov","S. Pesyakov")</f>
        <v>S. Pesyakov</v>
      </c>
      <c s="30" r="I1118">
        <v>72</v>
      </c>
      <c t="s" s="30" r="J1118">
        <v>106</v>
      </c>
      <c t="s" s="30" r="K1118">
        <v>181</v>
      </c>
      <c t="s" s="30" r="L1118">
        <v>178</v>
      </c>
      <c s="30" r="M1118">
        <v>23</v>
      </c>
      <c s="26" r="N1118">
        <v>2.3</v>
      </c>
      <c s="23" r="O1118">
        <v>0.008</v>
      </c>
      <c s="7" r="P1118"/>
      <c s="7" r="Q1118"/>
      <c s="7" r="R1118">
        <f>IF((P1118&gt;0),O1118,0)</f>
        <v>0</v>
      </c>
      <c t="str" r="S1118">
        <f>CONCATENATE(F1118,E1118)</f>
        <v>NON FTLNON FTL</v>
      </c>
    </row>
    <row r="1119">
      <c t="s" s="7" r="A1119">
        <v>201</v>
      </c>
      <c s="7" r="B1119">
        <v>1146</v>
      </c>
      <c s="30" r="C1119">
        <v>5</v>
      </c>
      <c t="s" s="30" r="D1119">
        <v>136</v>
      </c>
      <c t="s" s="30" r="E1119">
        <v>4</v>
      </c>
      <c t="s" s="30" r="F1119">
        <v>4</v>
      </c>
      <c t="s" s="30" r="G1119">
        <v>238</v>
      </c>
      <c t="str" s="12" r="H1119">
        <f>HYPERLINK("http://sofifa.com/en/fifa13winter/player/146559-nicolas-pareja","N. Pareja")</f>
        <v>N. Pareja</v>
      </c>
      <c s="30" r="I1119">
        <v>73</v>
      </c>
      <c t="s" s="30" r="J1119">
        <v>113</v>
      </c>
      <c t="s" s="30" r="K1119">
        <v>110</v>
      </c>
      <c t="s" s="30" r="L1119">
        <v>151</v>
      </c>
      <c s="30" r="M1119">
        <v>28</v>
      </c>
      <c s="26" r="N1119">
        <v>2.8</v>
      </c>
      <c s="23" r="O1119">
        <v>0.01</v>
      </c>
      <c s="7" r="P1119"/>
      <c s="7" r="Q1119"/>
      <c s="7" r="R1119">
        <f>IF((P1119&gt;0),O1119,0)</f>
        <v>0</v>
      </c>
      <c t="str" r="S1119">
        <f>CONCATENATE(F1119,E1119)</f>
        <v>NON FTLNON FTL</v>
      </c>
    </row>
    <row r="1120">
      <c t="s" s="7" r="A1120">
        <v>201</v>
      </c>
      <c s="7" r="B1120">
        <v>1147</v>
      </c>
      <c s="30" r="C1120">
        <v>7</v>
      </c>
      <c t="s" s="30" r="D1120">
        <v>136</v>
      </c>
      <c t="s" s="30" r="E1120">
        <v>4</v>
      </c>
      <c t="s" s="30" r="F1120">
        <v>4</v>
      </c>
      <c t="s" s="30" r="G1120">
        <v>238</v>
      </c>
      <c t="str" s="12" r="H1120">
        <f>HYPERLINK("http://sofifa.com/en/fifa13winter/player/147658-kirill-kombarov","K. Kombarov")</f>
        <v>K. Kombarov</v>
      </c>
      <c s="30" r="I1120">
        <v>70</v>
      </c>
      <c t="s" s="30" r="J1120">
        <v>109</v>
      </c>
      <c t="s" s="30" r="K1120">
        <v>150</v>
      </c>
      <c t="s" s="30" r="L1120">
        <v>119</v>
      </c>
      <c s="30" r="M1120">
        <v>25</v>
      </c>
      <c s="26" r="N1120">
        <v>1.7</v>
      </c>
      <c s="23" r="O1120">
        <v>0.007</v>
      </c>
      <c s="7" r="P1120"/>
      <c s="7" r="Q1120"/>
      <c s="7" r="R1120">
        <f>IF((P1120&gt;0),O1120,0)</f>
        <v>0</v>
      </c>
      <c t="str" r="S1120">
        <f>CONCATENATE(F1120,E1120)</f>
        <v>NON FTLNON FTL</v>
      </c>
    </row>
    <row r="1121">
      <c t="s" s="7" r="A1121">
        <v>201</v>
      </c>
      <c s="7" r="B1121">
        <v>1148</v>
      </c>
      <c s="30" r="C1121">
        <v>3</v>
      </c>
      <c t="s" s="30" r="D1121">
        <v>136</v>
      </c>
      <c t="s" s="30" r="E1121">
        <v>4</v>
      </c>
      <c t="s" s="30" r="F1121">
        <v>4</v>
      </c>
      <c t="s" s="30" r="G1121">
        <v>238</v>
      </c>
      <c t="str" s="12" r="H1121">
        <f>HYPERLINK("http://sofifa.com/en/fifa13winter/player/149782-sergei-bryzgalov","S. Bryzgalov")</f>
        <v>S. Bryzgalov</v>
      </c>
      <c s="30" r="I1121">
        <v>70</v>
      </c>
      <c t="s" s="30" r="J1121">
        <v>113</v>
      </c>
      <c t="s" s="30" r="K1121">
        <v>118</v>
      </c>
      <c t="s" s="30" r="L1121">
        <v>146</v>
      </c>
      <c s="30" r="M1121">
        <v>19</v>
      </c>
      <c s="26" r="N1121">
        <v>2.1</v>
      </c>
      <c s="23" r="O1121">
        <v>0.005</v>
      </c>
      <c s="7" r="P1121"/>
      <c s="7" r="Q1121"/>
      <c s="7" r="R1121">
        <f>IF((P1121&gt;0),O1121,0)</f>
        <v>0</v>
      </c>
      <c t="str" r="S1121">
        <f>CONCATENATE(F1121,E1121)</f>
        <v>NON FTLNON FTL</v>
      </c>
    </row>
    <row r="1122">
      <c t="s" s="7" r="A1122">
        <v>201</v>
      </c>
      <c s="7" r="B1122">
        <v>1149</v>
      </c>
      <c s="30" r="C1122">
        <v>12</v>
      </c>
      <c t="s" s="30" r="D1122">
        <v>136</v>
      </c>
      <c t="s" s="30" r="E1122">
        <v>4</v>
      </c>
      <c t="s" s="30" r="F1122">
        <v>4</v>
      </c>
      <c t="s" s="30" r="G1122">
        <v>238</v>
      </c>
      <c t="str" s="12" r="H1122">
        <f>HYPERLINK("http://sofifa.com/en/fifa13winter/player/147873-yura-movsisyan","Y. Movsisyan")</f>
        <v>Y. Movsisyan</v>
      </c>
      <c s="30" r="I1122">
        <v>76</v>
      </c>
      <c t="s" s="30" r="J1122">
        <v>129</v>
      </c>
      <c t="s" s="30" r="K1122">
        <v>150</v>
      </c>
      <c t="s" s="30" r="L1122">
        <v>183</v>
      </c>
      <c s="30" r="M1122">
        <v>25</v>
      </c>
      <c s="26" r="N1122">
        <v>5.9</v>
      </c>
      <c s="23" r="O1122">
        <v>0.015</v>
      </c>
      <c s="7" r="P1122"/>
      <c s="7" r="Q1122"/>
      <c s="7" r="R1122">
        <f>IF((P1122&gt;0),O1122,0)</f>
        <v>0</v>
      </c>
      <c t="str" r="S1122">
        <f>CONCATENATE(F1122,E1122)</f>
        <v>NON FTLNON FTL</v>
      </c>
    </row>
    <row r="1123">
      <c t="s" s="7" r="A1123">
        <v>201</v>
      </c>
      <c s="7" r="B1123">
        <v>1150</v>
      </c>
      <c s="30" r="C1123">
        <v>90</v>
      </c>
      <c t="s" s="30" r="D1123">
        <v>136</v>
      </c>
      <c t="s" s="30" r="E1123">
        <v>4</v>
      </c>
      <c t="s" s="30" r="F1123">
        <v>4</v>
      </c>
      <c t="s" s="30" r="G1123">
        <v>238</v>
      </c>
      <c t="str" s="12" r="H1123">
        <f>HYPERLINK("http://sofifa.com/en/fifa13winter/player/146529-ognjen-vukojevic","O. Vukojević")</f>
        <v>O. Vukojević</v>
      </c>
      <c s="30" r="I1123">
        <v>78</v>
      </c>
      <c t="s" s="30" r="J1123">
        <v>154</v>
      </c>
      <c t="s" s="30" r="K1123">
        <v>167</v>
      </c>
      <c t="s" s="30" r="L1123">
        <v>179</v>
      </c>
      <c s="30" r="M1123">
        <v>28</v>
      </c>
      <c s="26" r="N1123">
        <v>5.7</v>
      </c>
      <c s="23" r="O1123">
        <v>0.02</v>
      </c>
      <c s="7" r="P1123"/>
      <c s="7" r="Q1123"/>
      <c s="7" r="R1123">
        <f>IF((P1123&gt;0),O1123,0)</f>
        <v>0</v>
      </c>
      <c t="str" r="S1123">
        <f>CONCATENATE(F1123,E1123)</f>
        <v>NON FTLNON FTL</v>
      </c>
    </row>
    <row r="1124">
      <c t="s" s="7" r="A1124">
        <v>201</v>
      </c>
      <c s="7" r="B1124">
        <v>1151</v>
      </c>
      <c s="30" r="C1124">
        <v>29</v>
      </c>
      <c t="s" s="30" r="D1124">
        <v>136</v>
      </c>
      <c t="s" s="30" r="E1124">
        <v>4</v>
      </c>
      <c t="s" s="30" r="F1124">
        <v>4</v>
      </c>
      <c t="s" s="30" r="G1124">
        <v>238</v>
      </c>
      <c t="str" s="12" r="H1124">
        <f>HYPERLINK("http://sofifa.com/en/fifa13winter/player/147766-emmanuel-emenike","E. Emenike")</f>
        <v>E. Emenike</v>
      </c>
      <c s="30" r="I1124">
        <v>79</v>
      </c>
      <c t="s" s="30" r="J1124">
        <v>129</v>
      </c>
      <c t="s" s="30" r="K1124">
        <v>143</v>
      </c>
      <c t="s" s="30" r="L1124">
        <v>178</v>
      </c>
      <c s="30" r="M1124">
        <v>25</v>
      </c>
      <c s="26" r="N1124">
        <v>9.4</v>
      </c>
      <c s="23" r="O1124">
        <v>0.022</v>
      </c>
      <c s="7" r="P1124"/>
      <c s="7" r="Q1124"/>
      <c s="7" r="R1124">
        <f>IF((P1124&gt;0),O1124,0)</f>
        <v>0</v>
      </c>
      <c t="str" r="S1124">
        <f>CONCATENATE(F1124,E1124)</f>
        <v>NON FTLNON FTL</v>
      </c>
    </row>
    <row r="1125">
      <c t="s" s="7" r="A1125">
        <v>201</v>
      </c>
      <c s="7" r="B1125">
        <v>1152</v>
      </c>
      <c s="30" r="C1125">
        <v>18</v>
      </c>
      <c t="s" s="30" r="D1125">
        <v>147</v>
      </c>
      <c t="s" s="30" r="E1125">
        <v>4</v>
      </c>
      <c t="s" s="30" r="F1125">
        <v>4</v>
      </c>
      <c t="s" s="30" r="G1125">
        <v>238</v>
      </c>
      <c t="str" s="12" r="H1125">
        <f>HYPERLINK("http://sofifa.com/en/fifa13winter/player/150038-ilya-kutepov","I. Kutepov")</f>
        <v>I. Kutepov</v>
      </c>
      <c s="30" r="I1125">
        <v>65</v>
      </c>
      <c t="s" s="30" r="J1125">
        <v>113</v>
      </c>
      <c t="s" s="30" r="K1125">
        <v>144</v>
      </c>
      <c t="s" s="30" r="L1125">
        <v>193</v>
      </c>
      <c s="30" r="M1125">
        <v>19</v>
      </c>
      <c s="26" r="N1125">
        <v>1.1</v>
      </c>
      <c s="23" r="O1125">
        <v>0.004</v>
      </c>
      <c s="7" r="P1125"/>
      <c s="7" r="Q1125"/>
      <c s="7" r="R1125">
        <f>IF((P1125&gt;0),O1125,0)</f>
        <v>0</v>
      </c>
      <c t="str" r="S1125">
        <f>CONCATENATE(F1125,E1125)</f>
        <v>NON FTLNON FTL</v>
      </c>
    </row>
    <row r="1126">
      <c t="s" s="7" r="A1126">
        <v>201</v>
      </c>
      <c s="7" r="B1126">
        <v>1153</v>
      </c>
      <c s="30" r="C1126">
        <v>51</v>
      </c>
      <c t="s" s="30" r="D1126">
        <v>147</v>
      </c>
      <c t="s" s="30" r="E1126">
        <v>4</v>
      </c>
      <c t="s" s="30" r="F1126">
        <v>4</v>
      </c>
      <c t="s" s="30" r="G1126">
        <v>238</v>
      </c>
      <c t="str" s="12" r="H1126">
        <f>HYPERLINK("http://sofifa.com/en/fifa13winter/player/149594-dmitriy-kayumov","D. Kayumov")</f>
        <v>D. Kayumov</v>
      </c>
      <c s="30" r="I1126">
        <v>68</v>
      </c>
      <c t="s" s="30" r="J1126">
        <v>162</v>
      </c>
      <c t="s" s="30" r="K1126">
        <v>130</v>
      </c>
      <c t="s" s="30" r="L1126">
        <v>228</v>
      </c>
      <c s="30" r="M1126">
        <v>20</v>
      </c>
      <c s="26" r="N1126">
        <v>2</v>
      </c>
      <c s="23" r="O1126">
        <v>0.005</v>
      </c>
      <c s="7" r="P1126"/>
      <c s="7" r="Q1126"/>
      <c s="7" r="R1126">
        <f>IF((P1126&gt;0),O1126,0)</f>
        <v>0</v>
      </c>
      <c t="str" r="S1126">
        <f>CONCATENATE(F1126,E1126)</f>
        <v>NON FTLNON FTL</v>
      </c>
    </row>
    <row r="1127">
      <c t="s" s="7" r="A1127">
        <v>201</v>
      </c>
      <c s="7" r="B1127">
        <v>1154</v>
      </c>
      <c s="30" r="C1127">
        <v>22</v>
      </c>
      <c t="s" s="30" r="D1127">
        <v>147</v>
      </c>
      <c t="s" s="30" r="E1127">
        <v>4</v>
      </c>
      <c t="s" s="30" r="F1127">
        <v>4</v>
      </c>
      <c t="s" s="30" r="G1127">
        <v>238</v>
      </c>
      <c t="str" s="12" r="H1127">
        <f>HYPERLINK("http://sofifa.com/en/fifa13winter/player/149906-alexandr-kozlov","A. Kozlov")</f>
        <v>A. Kozlov</v>
      </c>
      <c s="30" r="I1127">
        <v>63</v>
      </c>
      <c t="s" s="30" r="J1127">
        <v>171</v>
      </c>
      <c t="s" s="30" r="K1127">
        <v>121</v>
      </c>
      <c t="s" s="30" r="L1127">
        <v>122</v>
      </c>
      <c s="30" r="M1127">
        <v>19</v>
      </c>
      <c s="26" r="N1127">
        <v>1.1</v>
      </c>
      <c s="23" r="O1127">
        <v>0.003</v>
      </c>
      <c s="7" r="P1127"/>
      <c s="7" r="Q1127"/>
      <c s="7" r="R1127">
        <f>IF((P1127&gt;0),O1127,0)</f>
        <v>0</v>
      </c>
      <c t="str" r="S1127">
        <f>CONCATENATE(F1127,E1127)</f>
        <v>NON FTLNON FTL</v>
      </c>
    </row>
    <row r="1128">
      <c t="s" s="7" r="A1128">
        <v>201</v>
      </c>
      <c s="7" r="B1128">
        <v>1155</v>
      </c>
      <c s="30" r="C1128">
        <v>15</v>
      </c>
      <c t="s" s="30" r="D1128">
        <v>147</v>
      </c>
      <c t="s" s="30" r="E1128">
        <v>4</v>
      </c>
      <c t="s" s="30" r="F1128">
        <v>4</v>
      </c>
      <c t="s" s="30" r="G1128">
        <v>238</v>
      </c>
      <c t="str" s="12" r="H1128">
        <f>HYPERLINK("http://sofifa.com/en/fifa13winter/player/148444-sergey-parshivlyuk","S. Parshivlyuk")</f>
        <v>S. Parshivlyuk</v>
      </c>
      <c s="30" r="I1128">
        <v>70</v>
      </c>
      <c t="s" s="30" r="J1128">
        <v>109</v>
      </c>
      <c t="s" s="30" r="K1128">
        <v>114</v>
      </c>
      <c t="s" s="30" r="L1128">
        <v>151</v>
      </c>
      <c s="30" r="M1128">
        <v>23</v>
      </c>
      <c s="26" r="N1128">
        <v>1.8</v>
      </c>
      <c s="23" r="O1128">
        <v>0.006</v>
      </c>
      <c s="7" r="P1128"/>
      <c s="7" r="Q1128"/>
      <c s="7" r="R1128">
        <f>IF((P1128&gt;0),O1128,0)</f>
        <v>0</v>
      </c>
      <c t="str" r="S1128">
        <f>CONCATENATE(F1128,E1128)</f>
        <v>NON FTLNON FTL</v>
      </c>
    </row>
    <row r="1129">
      <c t="s" s="7" r="A1129">
        <v>201</v>
      </c>
      <c s="7" r="B1129">
        <v>1156</v>
      </c>
      <c s="30" r="C1129">
        <v>2</v>
      </c>
      <c t="s" s="30" r="D1129">
        <v>147</v>
      </c>
      <c t="s" s="30" r="E1129">
        <v>4</v>
      </c>
      <c t="s" s="30" r="F1129">
        <v>4</v>
      </c>
      <c t="s" s="30" r="G1129">
        <v>238</v>
      </c>
      <c t="str" s="12" r="H1129">
        <f>HYPERLINK("http://sofifa.com/en/fifa13winter/player/146817-juan-manuel-insaurralde","J. Insaurralde")</f>
        <v>J. Insaurralde</v>
      </c>
      <c s="30" r="I1129">
        <v>75</v>
      </c>
      <c t="s" s="30" r="J1129">
        <v>113</v>
      </c>
      <c t="s" s="30" r="K1129">
        <v>155</v>
      </c>
      <c t="s" s="30" r="L1129">
        <v>156</v>
      </c>
      <c s="30" r="M1129">
        <v>27</v>
      </c>
      <c s="26" r="N1129">
        <v>4</v>
      </c>
      <c s="23" r="O1129">
        <v>0.013</v>
      </c>
      <c s="7" r="P1129"/>
      <c s="7" r="Q1129"/>
      <c s="7" r="R1129">
        <f>IF((P1129&gt;0),O1129,0)</f>
        <v>0</v>
      </c>
      <c t="str" r="S1129">
        <f>CONCATENATE(F1129,E1129)</f>
        <v>NON FTLNON FTL</v>
      </c>
    </row>
    <row r="1130">
      <c t="s" s="7" r="A1130">
        <v>201</v>
      </c>
      <c s="7" r="B1130">
        <v>1157</v>
      </c>
      <c s="30" r="C1130">
        <v>32</v>
      </c>
      <c t="s" s="30" r="D1130">
        <v>147</v>
      </c>
      <c t="s" s="30" r="E1130">
        <v>4</v>
      </c>
      <c t="s" s="30" r="F1130">
        <v>4</v>
      </c>
      <c t="s" s="30" r="G1130">
        <v>238</v>
      </c>
      <c t="str" s="12" r="H1130">
        <f>HYPERLINK("http://sofifa.com/en/fifa13winter/player/146604-artem-rebrov","A. Rebrov")</f>
        <v>A. Rebrov</v>
      </c>
      <c s="30" r="I1130">
        <v>69</v>
      </c>
      <c t="s" s="30" r="J1130">
        <v>106</v>
      </c>
      <c t="s" s="30" r="K1130">
        <v>107</v>
      </c>
      <c t="s" s="30" r="L1130">
        <v>175</v>
      </c>
      <c s="30" r="M1130">
        <v>28</v>
      </c>
      <c s="26" r="N1130">
        <v>1.4</v>
      </c>
      <c s="23" r="O1130">
        <v>0.007</v>
      </c>
      <c s="7" r="P1130"/>
      <c s="7" r="Q1130"/>
      <c s="7" r="R1130">
        <f>IF((P1130&gt;0),O1130,0)</f>
        <v>0</v>
      </c>
      <c t="str" r="S1130">
        <f>CONCATENATE(F1130,E1130)</f>
        <v>NON FTLNON FTL</v>
      </c>
    </row>
    <row r="1131">
      <c t="s" s="7" r="A1131">
        <v>201</v>
      </c>
      <c s="7" r="B1131">
        <v>1158</v>
      </c>
      <c s="30" r="C1131">
        <v>57</v>
      </c>
      <c t="s" s="30" r="D1131">
        <v>147</v>
      </c>
      <c t="s" s="30" r="E1131">
        <v>4</v>
      </c>
      <c t="s" s="30" r="F1131">
        <v>4</v>
      </c>
      <c t="s" s="30" r="G1131">
        <v>238</v>
      </c>
      <c t="str" s="12" r="H1131">
        <f>HYPERLINK("http://sofifa.com/en/fifa13winter/player/149873-vyacheslav-krotov","V. Krotov")</f>
        <v>V. Krotov</v>
      </c>
      <c s="30" r="I1131">
        <v>56</v>
      </c>
      <c t="s" s="30" r="J1131">
        <v>157</v>
      </c>
      <c t="s" s="30" r="K1131">
        <v>110</v>
      </c>
      <c t="s" s="30" r="L1131">
        <v>146</v>
      </c>
      <c s="30" r="M1131">
        <v>19</v>
      </c>
      <c s="26" r="N1131">
        <v>0.1</v>
      </c>
      <c s="23" r="O1131">
        <v>0.002</v>
      </c>
      <c s="7" r="P1131"/>
      <c s="7" r="Q1131"/>
      <c s="7" r="R1131">
        <f>IF((P1131&gt;0),O1131,0)</f>
        <v>0</v>
      </c>
      <c t="str" r="S1131">
        <f>CONCATENATE(F1131,E1131)</f>
        <v>NON FTLNON FTL</v>
      </c>
    </row>
    <row r="1132">
      <c t="s" s="7" r="A1132">
        <v>201</v>
      </c>
      <c s="7" r="B1132">
        <v>1159</v>
      </c>
      <c s="30" r="C1132">
        <v>1</v>
      </c>
      <c t="s" s="30" r="D1132">
        <v>106</v>
      </c>
      <c t="s" s="30" r="E1132">
        <v>4</v>
      </c>
      <c t="s" s="30" r="F1132">
        <v>4</v>
      </c>
      <c t="s" s="30" r="G1132">
        <v>239</v>
      </c>
      <c t="str" s="12" r="H1132">
        <f>HYPERLINK("http://sofifa.com/en/fifa13winter/player/145510-gorka-iraizoz-moreno","Iraizoz")</f>
        <v>Iraizoz</v>
      </c>
      <c s="30" r="I1132">
        <v>73</v>
      </c>
      <c t="s" s="30" r="J1132">
        <v>106</v>
      </c>
      <c t="s" s="30" r="K1132">
        <v>144</v>
      </c>
      <c t="s" s="30" r="L1132">
        <v>135</v>
      </c>
      <c s="30" r="M1132">
        <v>31</v>
      </c>
      <c s="26" r="N1132">
        <v>2</v>
      </c>
      <c s="23" r="O1132">
        <v>0.011</v>
      </c>
      <c s="7" r="P1132"/>
      <c s="7" r="Q1132"/>
      <c s="7" r="R1132">
        <f>IF((P1132&gt;0),O1132,0)</f>
        <v>0</v>
      </c>
      <c t="str" r="S1132">
        <f>CONCATENATE(F1132,E1132)</f>
        <v>NON FTLNON FTL</v>
      </c>
    </row>
    <row r="1133">
      <c t="s" s="7" r="A1133">
        <v>201</v>
      </c>
      <c s="7" r="B1133">
        <v>1160</v>
      </c>
      <c s="30" r="C1133">
        <v>15</v>
      </c>
      <c t="s" s="30" r="D1133">
        <v>109</v>
      </c>
      <c t="s" s="30" r="E1133">
        <v>4</v>
      </c>
      <c t="s" s="30" r="F1133">
        <v>4</v>
      </c>
      <c t="s" s="30" r="G1133">
        <v>239</v>
      </c>
      <c t="str" s="12" r="H1133">
        <f>HYPERLINK("http://sofifa.com/en/fifa13winter/player/145983-andoni-iraola-sagarna","Iraola")</f>
        <v>Iraola</v>
      </c>
      <c s="30" r="I1133">
        <v>77</v>
      </c>
      <c t="s" s="30" r="J1133">
        <v>109</v>
      </c>
      <c t="s" s="30" r="K1133">
        <v>143</v>
      </c>
      <c t="s" s="30" r="L1133">
        <v>160</v>
      </c>
      <c s="30" r="M1133">
        <v>30</v>
      </c>
      <c s="26" r="N1133">
        <v>4.5</v>
      </c>
      <c s="23" r="O1133">
        <v>0.019</v>
      </c>
      <c s="7" r="P1133"/>
      <c s="7" r="Q1133"/>
      <c s="7" r="R1133">
        <f>IF((P1133&gt;0),O1133,0)</f>
        <v>0</v>
      </c>
      <c t="str" r="S1133">
        <f>CONCATENATE(F1133,E1133)</f>
        <v>NON FTLNON FTL</v>
      </c>
    </row>
    <row r="1134">
      <c t="s" s="7" r="A1134">
        <v>201</v>
      </c>
      <c s="7" r="B1134">
        <v>1161</v>
      </c>
      <c s="30" r="C1134">
        <v>18</v>
      </c>
      <c t="s" s="30" r="D1134">
        <v>112</v>
      </c>
      <c t="s" s="30" r="E1134">
        <v>4</v>
      </c>
      <c t="s" s="30" r="F1134">
        <v>4</v>
      </c>
      <c t="s" s="30" r="G1134">
        <v>239</v>
      </c>
      <c t="str" s="12" r="H1134">
        <f>HYPERLINK("http://sofifa.com/en/fifa13winter/player/145311-carlos-gurpegi-nausia","Gurpegi")</f>
        <v>Gurpegi</v>
      </c>
      <c s="30" r="I1134">
        <v>75</v>
      </c>
      <c t="s" s="30" r="J1134">
        <v>113</v>
      </c>
      <c t="s" s="30" r="K1134">
        <v>150</v>
      </c>
      <c t="s" s="30" r="L1134">
        <v>151</v>
      </c>
      <c s="30" r="M1134">
        <v>32</v>
      </c>
      <c s="26" r="N1134">
        <v>3.1</v>
      </c>
      <c s="23" r="O1134">
        <v>0.015</v>
      </c>
      <c s="7" r="P1134"/>
      <c s="7" r="Q1134"/>
      <c s="7" r="R1134">
        <f>IF((P1134&gt;0),O1134,0)</f>
        <v>0</v>
      </c>
      <c t="str" r="S1134">
        <f>CONCATENATE(F1134,E1134)</f>
        <v>NON FTLNON FTL</v>
      </c>
    </row>
    <row r="1135">
      <c t="s" s="7" r="A1135">
        <v>201</v>
      </c>
      <c s="7" r="B1135">
        <v>1162</v>
      </c>
      <c s="30" r="C1135">
        <v>6</v>
      </c>
      <c t="s" s="30" r="D1135">
        <v>116</v>
      </c>
      <c t="s" s="30" r="E1135">
        <v>4</v>
      </c>
      <c t="s" s="30" r="F1135">
        <v>4</v>
      </c>
      <c t="s" s="30" r="G1135">
        <v>239</v>
      </c>
      <c t="str" s="12" r="H1135">
        <f>HYPERLINK("http://sofifa.com/en/fifa13winter/player/148517-mikel-san-jose-dominguez","Mikel San José")</f>
        <v>Mikel San José</v>
      </c>
      <c s="30" r="I1135">
        <v>76</v>
      </c>
      <c t="s" s="30" r="J1135">
        <v>113</v>
      </c>
      <c t="s" s="30" r="K1135">
        <v>173</v>
      </c>
      <c t="s" s="30" r="L1135">
        <v>138</v>
      </c>
      <c s="30" r="M1135">
        <v>23</v>
      </c>
      <c s="26" r="N1135">
        <v>5.1</v>
      </c>
      <c s="23" r="O1135">
        <v>0.014</v>
      </c>
      <c s="7" r="P1135"/>
      <c s="7" r="Q1135"/>
      <c s="7" r="R1135">
        <f>IF((P1135&gt;0),O1135,0)</f>
        <v>0</v>
      </c>
      <c t="str" r="S1135">
        <f>CONCATENATE(F1135,E1135)</f>
        <v>NON FTLNON FTL</v>
      </c>
    </row>
    <row r="1136">
      <c t="s" s="7" r="A1136">
        <v>201</v>
      </c>
      <c s="7" r="B1136">
        <v>1163</v>
      </c>
      <c s="30" r="C1136">
        <v>3</v>
      </c>
      <c t="s" s="30" r="D1136">
        <v>117</v>
      </c>
      <c t="s" s="30" r="E1136">
        <v>4</v>
      </c>
      <c t="s" s="30" r="F1136">
        <v>4</v>
      </c>
      <c t="s" s="30" r="G1136">
        <v>239</v>
      </c>
      <c t="str" s="12" r="H1136">
        <f>HYPERLINK("http://sofifa.com/en/fifa13winter/player/149465-jon-aurtenetxe-borde","Aurtenetxe")</f>
        <v>Aurtenetxe</v>
      </c>
      <c s="30" r="I1136">
        <v>74</v>
      </c>
      <c t="s" s="30" r="J1136">
        <v>117</v>
      </c>
      <c t="s" s="30" r="K1136">
        <v>143</v>
      </c>
      <c t="s" s="30" r="L1136">
        <v>193</v>
      </c>
      <c s="30" r="M1136">
        <v>20</v>
      </c>
      <c s="26" r="N1136">
        <v>3.5</v>
      </c>
      <c s="23" r="O1136">
        <v>0.009</v>
      </c>
      <c s="7" r="P1136"/>
      <c s="7" r="Q1136"/>
      <c s="7" r="R1136">
        <f>IF((P1136&gt;0),O1136,0)</f>
        <v>0</v>
      </c>
      <c t="str" r="S1136">
        <f>CONCATENATE(F1136,E1136)</f>
        <v>NON FTLNON FTL</v>
      </c>
    </row>
    <row r="1137">
      <c t="s" s="7" r="A1137">
        <v>201</v>
      </c>
      <c s="7" r="B1137">
        <v>1164</v>
      </c>
      <c s="30" r="C1137">
        <v>8</v>
      </c>
      <c t="s" s="30" r="D1137">
        <v>123</v>
      </c>
      <c t="s" s="30" r="E1137">
        <v>4</v>
      </c>
      <c t="s" s="30" r="F1137">
        <v>4</v>
      </c>
      <c t="s" s="30" r="G1137">
        <v>239</v>
      </c>
      <c t="str" s="12" r="H1137">
        <f>HYPERLINK("http://sofifa.com/en/fifa13winter/player/148434-ander-iturraspe-derteano","Iturraspe")</f>
        <v>Iturraspe</v>
      </c>
      <c s="30" r="I1137">
        <v>76</v>
      </c>
      <c t="s" s="30" r="J1137">
        <v>154</v>
      </c>
      <c t="s" s="30" r="K1137">
        <v>155</v>
      </c>
      <c t="s" s="30" r="L1137">
        <v>151</v>
      </c>
      <c s="30" r="M1137">
        <v>23</v>
      </c>
      <c s="26" r="N1137">
        <v>4.8</v>
      </c>
      <c s="23" r="O1137">
        <v>0.014</v>
      </c>
      <c s="7" r="P1137"/>
      <c s="7" r="Q1137"/>
      <c s="7" r="R1137">
        <f>IF((P1137&gt;0),O1137,0)</f>
        <v>0</v>
      </c>
      <c t="str" r="S1137">
        <f>CONCATENATE(F1137,E1137)</f>
        <v>NON FTLNON FTL</v>
      </c>
    </row>
    <row r="1138">
      <c t="s" s="7" r="A1138">
        <v>201</v>
      </c>
      <c s="7" r="B1138">
        <v>1165</v>
      </c>
      <c s="30" r="C1138">
        <v>10</v>
      </c>
      <c t="s" s="30" r="D1138">
        <v>124</v>
      </c>
      <c t="s" s="30" r="E1138">
        <v>4</v>
      </c>
      <c t="s" s="30" r="F1138">
        <v>4</v>
      </c>
      <c t="s" s="30" r="G1138">
        <v>239</v>
      </c>
      <c t="str" s="12" r="H1138">
        <f>HYPERLINK("http://sofifa.com/en/fifa13winter/player/148471-oscar-de-marcos-arana","De Marcos")</f>
        <v>De Marcos</v>
      </c>
      <c s="30" r="I1138">
        <v>75</v>
      </c>
      <c t="s" s="30" r="J1138">
        <v>124</v>
      </c>
      <c t="s" s="30" r="K1138">
        <v>114</v>
      </c>
      <c t="s" s="30" r="L1138">
        <v>137</v>
      </c>
      <c s="30" r="M1138">
        <v>23</v>
      </c>
      <c s="26" r="N1138">
        <v>4.3</v>
      </c>
      <c s="23" r="O1138">
        <v>0.012</v>
      </c>
      <c s="7" r="P1138"/>
      <c s="7" r="Q1138"/>
      <c s="7" r="R1138">
        <f>IF((P1138&gt;0),O1138,0)</f>
        <v>0</v>
      </c>
      <c t="str" r="S1138">
        <f>CONCATENATE(F1138,E1138)</f>
        <v>NON FTLNON FTL</v>
      </c>
    </row>
    <row r="1139">
      <c t="s" s="7" r="A1139">
        <v>201</v>
      </c>
      <c s="7" r="B1139">
        <v>1166</v>
      </c>
      <c s="30" r="C1139">
        <v>21</v>
      </c>
      <c t="s" s="30" r="D1139">
        <v>126</v>
      </c>
      <c t="s" s="30" r="E1139">
        <v>4</v>
      </c>
      <c t="s" s="30" r="F1139">
        <v>4</v>
      </c>
      <c t="s" s="30" r="G1139">
        <v>239</v>
      </c>
      <c t="str" s="12" r="H1139">
        <f>HYPERLINK("http://sofifa.com/en/fifa13winter/player/148593-ander-herrera-aguera","Ander Herrera")</f>
        <v>Ander Herrera</v>
      </c>
      <c s="30" r="I1139">
        <v>77</v>
      </c>
      <c t="s" s="30" r="J1139">
        <v>124</v>
      </c>
      <c t="s" s="30" r="K1139">
        <v>143</v>
      </c>
      <c t="s" s="30" r="L1139">
        <v>119</v>
      </c>
      <c s="30" r="M1139">
        <v>23</v>
      </c>
      <c s="26" r="N1139">
        <v>5.9</v>
      </c>
      <c s="23" r="O1139">
        <v>0.016</v>
      </c>
      <c s="7" r="P1139"/>
      <c s="7" r="Q1139"/>
      <c s="7" r="R1139">
        <f>IF((P1139&gt;0),O1139,0)</f>
        <v>0</v>
      </c>
      <c t="str" r="S1139">
        <f>CONCATENATE(F1139,E1139)</f>
        <v>NON FTLNON FTL</v>
      </c>
    </row>
    <row r="1140">
      <c t="s" s="7" r="A1140">
        <v>201</v>
      </c>
      <c s="7" r="B1140">
        <v>1167</v>
      </c>
      <c s="30" r="C1140">
        <v>14</v>
      </c>
      <c t="s" s="30" r="D1140">
        <v>157</v>
      </c>
      <c t="s" s="30" r="E1140">
        <v>4</v>
      </c>
      <c t="s" s="30" r="F1140">
        <v>4</v>
      </c>
      <c t="s" s="30" r="G1140">
        <v>239</v>
      </c>
      <c t="str" s="12" r="H1140">
        <f>HYPERLINK("http://sofifa.com/en/fifa13winter/player/147984-markel-susaeta-laskurain","Susaeta")</f>
        <v>Susaeta</v>
      </c>
      <c s="30" r="I1140">
        <v>80</v>
      </c>
      <c t="s" s="30" r="J1140">
        <v>157</v>
      </c>
      <c t="s" s="30" r="K1140">
        <v>145</v>
      </c>
      <c t="s" s="30" r="L1140">
        <v>115</v>
      </c>
      <c s="30" r="M1140">
        <v>24</v>
      </c>
      <c s="26" r="N1140">
        <v>11.4</v>
      </c>
      <c s="23" r="O1140">
        <v>0.03</v>
      </c>
      <c s="7" r="P1140"/>
      <c s="7" r="Q1140"/>
      <c s="7" r="R1140">
        <f>IF((P1140&gt;0),O1140,0)</f>
        <v>0</v>
      </c>
      <c t="str" r="S1140">
        <f>CONCATENATE(F1140,E1140)</f>
        <v>NON FTLNON FTL</v>
      </c>
    </row>
    <row r="1141">
      <c t="s" s="7" r="A1141">
        <v>201</v>
      </c>
      <c s="7" r="B1141">
        <v>1168</v>
      </c>
      <c s="30" r="C1141">
        <v>20</v>
      </c>
      <c t="s" s="30" r="D1141">
        <v>129</v>
      </c>
      <c t="s" s="30" r="E1141">
        <v>4</v>
      </c>
      <c t="s" s="30" r="F1141">
        <v>4</v>
      </c>
      <c t="s" s="30" r="G1141">
        <v>239</v>
      </c>
      <c t="str" s="12" r="H1141">
        <f>HYPERLINK("http://sofifa.com/en/fifa13winter/player/145487-aritz-aduriz-zubeldia","Aduriz")</f>
        <v>Aduriz</v>
      </c>
      <c s="30" r="I1141">
        <v>79</v>
      </c>
      <c t="s" s="30" r="J1141">
        <v>129</v>
      </c>
      <c t="s" s="30" r="K1141">
        <v>143</v>
      </c>
      <c t="s" s="30" r="L1141">
        <v>161</v>
      </c>
      <c s="30" r="M1141">
        <v>31</v>
      </c>
      <c s="26" r="N1141">
        <v>7.5</v>
      </c>
      <c s="23" r="O1141">
        <v>0.025</v>
      </c>
      <c s="7" r="P1141"/>
      <c s="7" r="Q1141"/>
      <c s="7" r="R1141">
        <f>IF((P1141&gt;0),O1141,0)</f>
        <v>0</v>
      </c>
      <c t="str" r="S1141">
        <f>CONCATENATE(F1141,E1141)</f>
        <v>NON FTLNON FTL</v>
      </c>
    </row>
    <row r="1142">
      <c t="s" s="7" r="A1142">
        <v>201</v>
      </c>
      <c s="7" r="B1142">
        <v>1169</v>
      </c>
      <c s="30" r="C1142">
        <v>19</v>
      </c>
      <c t="s" s="30" r="D1142">
        <v>170</v>
      </c>
      <c t="s" s="30" r="E1142">
        <v>4</v>
      </c>
      <c t="s" s="30" r="F1142">
        <v>4</v>
      </c>
      <c t="s" s="30" r="G1142">
        <v>239</v>
      </c>
      <c t="str" s="12" r="H1142">
        <f>HYPERLINK("http://sofifa.com/en/fifa13winter/player/149816-iker-muniain-goni","Muniaín")</f>
        <v>Muniaín</v>
      </c>
      <c s="30" r="I1142">
        <v>77</v>
      </c>
      <c t="s" s="30" r="J1142">
        <v>162</v>
      </c>
      <c t="s" s="30" r="K1142">
        <v>205</v>
      </c>
      <c t="s" s="30" r="L1142">
        <v>168</v>
      </c>
      <c s="30" r="M1142">
        <v>19</v>
      </c>
      <c s="26" r="N1142">
        <v>7.8</v>
      </c>
      <c s="23" r="O1142">
        <v>0.013</v>
      </c>
      <c s="7" r="P1142"/>
      <c s="7" r="Q1142"/>
      <c s="7" r="R1142">
        <f>IF((P1142&gt;0),O1142,0)</f>
        <v>0</v>
      </c>
      <c t="str" r="S1142">
        <f>CONCATENATE(F1142,E1142)</f>
        <v>NON FTLNON FTL</v>
      </c>
    </row>
    <row r="1143">
      <c t="s" s="7" r="A1143">
        <v>201</v>
      </c>
      <c s="7" r="B1143">
        <v>1170</v>
      </c>
      <c s="30" r="C1143">
        <v>27</v>
      </c>
      <c t="s" s="30" r="D1143">
        <v>136</v>
      </c>
      <c t="s" s="30" r="E1143">
        <v>4</v>
      </c>
      <c t="s" s="30" r="F1143">
        <v>4</v>
      </c>
      <c t="s" s="30" r="G1143">
        <v>239</v>
      </c>
      <c t="str" s="12" r="H1143">
        <f>HYPERLINK("http://sofifa.com/en/fifa13winter/player/150046-inigo-ruiz-de-galarreta","Ruiz De Galarreta")</f>
        <v>Ruiz De Galarreta</v>
      </c>
      <c s="30" r="I1143">
        <v>69</v>
      </c>
      <c t="s" s="30" r="J1143">
        <v>124</v>
      </c>
      <c t="s" s="30" r="K1143">
        <v>182</v>
      </c>
      <c t="s" s="30" r="L1143">
        <v>125</v>
      </c>
      <c s="30" r="M1143">
        <v>19</v>
      </c>
      <c s="26" r="N1143">
        <v>2</v>
      </c>
      <c s="23" r="O1143">
        <v>0.005</v>
      </c>
      <c s="7" r="P1143"/>
      <c s="7" r="Q1143"/>
      <c s="7" r="R1143">
        <f>IF((P1143&gt;0),O1143,0)</f>
        <v>0</v>
      </c>
      <c t="str" r="S1143">
        <f>CONCATENATE(F1143,E1143)</f>
        <v>NON FTLNON FTL</v>
      </c>
    </row>
    <row r="1144">
      <c t="s" s="7" r="A1144">
        <v>201</v>
      </c>
      <c s="7" r="B1144">
        <v>1171</v>
      </c>
      <c s="30" r="C1144">
        <v>23</v>
      </c>
      <c t="s" s="30" r="D1144">
        <v>136</v>
      </c>
      <c t="s" s="30" r="E1144">
        <v>4</v>
      </c>
      <c t="s" s="30" r="F1144">
        <v>4</v>
      </c>
      <c t="s" s="30" r="G1144">
        <v>239</v>
      </c>
      <c t="str" s="12" r="H1144">
        <f>HYPERLINK("http://sofifa.com/en/fifa13winter/player/148067-borja-ekiza-imaz","Ekiza")</f>
        <v>Ekiza</v>
      </c>
      <c s="30" r="I1144">
        <v>74</v>
      </c>
      <c t="s" s="30" r="J1144">
        <v>113</v>
      </c>
      <c t="s" s="30" r="K1144">
        <v>114</v>
      </c>
      <c t="s" s="30" r="L1144">
        <v>119</v>
      </c>
      <c s="30" r="M1144">
        <v>24</v>
      </c>
      <c s="26" r="N1144">
        <v>3.4</v>
      </c>
      <c s="23" r="O1144">
        <v>0.011</v>
      </c>
      <c s="7" r="P1144"/>
      <c s="7" r="Q1144"/>
      <c s="7" r="R1144">
        <f>IF((P1144&gt;0),O1144,0)</f>
        <v>0</v>
      </c>
      <c t="str" r="S1144">
        <f>CONCATENATE(F1144,E1144)</f>
        <v>NON FTLNON FTL</v>
      </c>
    </row>
    <row r="1145">
      <c t="s" s="7" r="A1145">
        <v>201</v>
      </c>
      <c s="7" r="B1145">
        <v>1172</v>
      </c>
      <c s="30" r="C1145">
        <v>4</v>
      </c>
      <c t="s" s="30" r="D1145">
        <v>136</v>
      </c>
      <c t="s" s="30" r="E1145">
        <v>4</v>
      </c>
      <c t="s" s="30" r="F1145">
        <v>4</v>
      </c>
      <c t="s" s="30" r="G1145">
        <v>239</v>
      </c>
      <c t="str" s="12" r="H1145">
        <f>HYPERLINK("http://sofifa.com/en/fifa13winter/player/150340-aymeric-laporte","A. Laporte")</f>
        <v>A. Laporte</v>
      </c>
      <c s="30" r="I1145">
        <v>72</v>
      </c>
      <c t="s" s="30" r="J1145">
        <v>113</v>
      </c>
      <c t="s" s="30" r="K1145">
        <v>169</v>
      </c>
      <c t="s" s="30" r="L1145">
        <v>179</v>
      </c>
      <c s="30" r="M1145">
        <v>18</v>
      </c>
      <c s="26" r="N1145">
        <v>3</v>
      </c>
      <c s="23" r="O1145">
        <v>0.007</v>
      </c>
      <c s="7" r="P1145"/>
      <c s="7" r="Q1145"/>
      <c s="7" r="R1145">
        <f>IF((P1145&gt;0),O1145,0)</f>
        <v>0</v>
      </c>
      <c t="str" r="S1145">
        <f>CONCATENATE(F1145,E1145)</f>
        <v>NON FTLNON FTL</v>
      </c>
    </row>
    <row r="1146">
      <c t="s" s="7" r="A1146">
        <v>201</v>
      </c>
      <c s="7" r="B1146">
        <v>1173</v>
      </c>
      <c s="30" r="C1146">
        <v>11</v>
      </c>
      <c t="s" s="30" r="D1146">
        <v>136</v>
      </c>
      <c t="s" s="30" r="E1146">
        <v>4</v>
      </c>
      <c t="s" s="30" r="F1146">
        <v>4</v>
      </c>
      <c t="s" s="30" r="G1146">
        <v>239</v>
      </c>
      <c t="str" s="12" r="H1146">
        <f>HYPERLINK("http://sofifa.com/en/fifa13winter/player/148682-ibai-gomez-perez","Ibai Gómez")</f>
        <v>Ibai Gómez</v>
      </c>
      <c s="30" r="I1146">
        <v>75</v>
      </c>
      <c t="s" s="30" r="J1146">
        <v>170</v>
      </c>
      <c t="s" s="30" r="K1146">
        <v>159</v>
      </c>
      <c t="s" s="30" r="L1146">
        <v>146</v>
      </c>
      <c s="30" r="M1146">
        <v>22</v>
      </c>
      <c s="26" r="N1146">
        <v>4.9</v>
      </c>
      <c s="23" r="O1146">
        <v>0.012</v>
      </c>
      <c s="7" r="P1146"/>
      <c s="7" r="Q1146"/>
      <c s="7" r="R1146">
        <f>IF((P1146&gt;0),O1146,0)</f>
        <v>0</v>
      </c>
      <c t="str" r="S1146">
        <f>CONCATENATE(F1146,E1146)</f>
        <v>NON FTLNON FTL</v>
      </c>
    </row>
    <row r="1147">
      <c t="s" s="7" r="A1147">
        <v>201</v>
      </c>
      <c s="7" r="B1147">
        <v>1174</v>
      </c>
      <c s="30" r="C1147">
        <v>17</v>
      </c>
      <c t="s" s="30" r="D1147">
        <v>136</v>
      </c>
      <c t="s" s="30" r="E1147">
        <v>4</v>
      </c>
      <c t="s" s="30" r="F1147">
        <v>4</v>
      </c>
      <c t="s" s="30" r="G1147">
        <v>239</v>
      </c>
      <c t="str" s="12" r="H1147">
        <f>HYPERLINK("http://sofifa.com/en/fifa13winter/player/148019-inigo-perez-soto","Iñigo Pérez")</f>
        <v>Iñigo Pérez</v>
      </c>
      <c s="30" r="I1147">
        <v>72</v>
      </c>
      <c t="s" s="30" r="J1147">
        <v>124</v>
      </c>
      <c t="s" s="30" r="K1147">
        <v>118</v>
      </c>
      <c t="s" s="30" r="L1147">
        <v>160</v>
      </c>
      <c s="30" r="M1147">
        <v>24</v>
      </c>
      <c s="26" r="N1147">
        <v>2.6</v>
      </c>
      <c s="23" r="O1147">
        <v>0.009</v>
      </c>
      <c s="7" r="P1147"/>
      <c s="7" r="Q1147"/>
      <c s="7" r="R1147">
        <f>IF((P1147&gt;0),O1147,0)</f>
        <v>0</v>
      </c>
      <c t="str" r="S1147">
        <f>CONCATENATE(F1147,E1147)</f>
        <v>NON FTLNON FTL</v>
      </c>
    </row>
    <row r="1148">
      <c t="s" s="7" r="A1148">
        <v>201</v>
      </c>
      <c s="7" r="B1148">
        <v>1175</v>
      </c>
      <c s="30" r="C1148">
        <v>16</v>
      </c>
      <c t="s" s="30" r="D1148">
        <v>136</v>
      </c>
      <c t="s" s="30" r="E1148">
        <v>4</v>
      </c>
      <c t="s" s="30" r="F1148">
        <v>4</v>
      </c>
      <c t="s" s="30" r="G1148">
        <v>239</v>
      </c>
      <c t="str" s="12" r="H1148">
        <f>HYPERLINK("http://sofifa.com/en/fifa13winter/player/148761-ismael-lopez-blanco","Isma López")</f>
        <v>Isma López</v>
      </c>
      <c s="30" r="I1148">
        <v>71</v>
      </c>
      <c t="s" s="30" r="J1148">
        <v>170</v>
      </c>
      <c t="s" s="30" r="K1148">
        <v>114</v>
      </c>
      <c t="s" s="30" r="L1148">
        <v>137</v>
      </c>
      <c s="30" r="M1148">
        <v>22</v>
      </c>
      <c s="26" r="N1148">
        <v>2.6</v>
      </c>
      <c s="23" r="O1148">
        <v>0.007</v>
      </c>
      <c s="7" r="P1148"/>
      <c s="7" r="Q1148"/>
      <c s="7" r="R1148">
        <f>IF((P1148&gt;0),O1148,0)</f>
        <v>0</v>
      </c>
      <c t="str" r="S1148">
        <f>CONCATENATE(F1148,E1148)</f>
        <v>NON FTLNON FTL</v>
      </c>
    </row>
    <row r="1149">
      <c t="s" s="7" r="A1149">
        <v>201</v>
      </c>
      <c s="7" r="B1149">
        <v>1176</v>
      </c>
      <c s="30" r="C1149">
        <v>2</v>
      </c>
      <c t="s" s="30" r="D1149">
        <v>136</v>
      </c>
      <c t="s" s="30" r="E1149">
        <v>4</v>
      </c>
      <c t="s" s="30" r="F1149">
        <v>4</v>
      </c>
      <c t="s" s="30" r="G1149">
        <v>239</v>
      </c>
      <c t="str" s="12" r="H1149">
        <f>HYPERLINK("http://sofifa.com/en/fifa13winter/player/146762-gaizka-toquero-pinedo","Toquero")</f>
        <v>Toquero</v>
      </c>
      <c s="30" r="I1149">
        <v>70</v>
      </c>
      <c t="s" s="30" r="J1149">
        <v>129</v>
      </c>
      <c t="s" s="30" r="K1149">
        <v>143</v>
      </c>
      <c t="s" s="30" r="L1149">
        <v>161</v>
      </c>
      <c s="30" r="M1149">
        <v>28</v>
      </c>
      <c s="26" r="N1149">
        <v>2.1</v>
      </c>
      <c s="23" r="O1149">
        <v>0.007</v>
      </c>
      <c s="7" r="P1149"/>
      <c s="7" r="Q1149"/>
      <c s="7" r="R1149">
        <f>IF((P1149&gt;0),O1149,0)</f>
        <v>0</v>
      </c>
      <c t="str" r="S1149">
        <f>CONCATENATE(F1149,E1149)</f>
        <v>NON FTLNON FTL</v>
      </c>
    </row>
    <row r="1150">
      <c t="s" s="7" r="A1150">
        <v>201</v>
      </c>
      <c s="7" r="B1150">
        <v>1177</v>
      </c>
      <c s="30" r="C1150">
        <v>22</v>
      </c>
      <c t="s" s="30" r="D1150">
        <v>136</v>
      </c>
      <c t="s" s="30" r="E1150">
        <v>4</v>
      </c>
      <c t="s" s="30" r="F1150">
        <v>4</v>
      </c>
      <c t="s" s="30" r="G1150">
        <v>239</v>
      </c>
      <c t="str" s="12" r="H1150">
        <f>HYPERLINK("http://sofifa.com/en/fifa13winter/player/147359-xabier-castillo-aranburu","Xabi Castillo")</f>
        <v>Xabi Castillo</v>
      </c>
      <c s="30" r="I1150">
        <v>67</v>
      </c>
      <c t="s" s="30" r="J1150">
        <v>117</v>
      </c>
      <c t="s" s="30" r="K1150">
        <v>167</v>
      </c>
      <c t="s" s="30" r="L1150">
        <v>151</v>
      </c>
      <c s="30" r="M1150">
        <v>26</v>
      </c>
      <c s="26" r="N1150">
        <v>1.2</v>
      </c>
      <c s="23" r="O1150">
        <v>0.006</v>
      </c>
      <c s="7" r="P1150"/>
      <c s="7" r="Q1150"/>
      <c s="7" r="R1150">
        <f>IF((P1150&gt;0),O1150,0)</f>
        <v>0</v>
      </c>
      <c t="str" r="S1150">
        <f>CONCATENATE(F1150,E1150)</f>
        <v>NON FTLNON FTL</v>
      </c>
    </row>
    <row r="1151">
      <c t="s" s="7" r="A1151">
        <v>201</v>
      </c>
      <c s="7" r="B1151">
        <v>1178</v>
      </c>
      <c s="30" r="C1151">
        <v>28</v>
      </c>
      <c t="s" s="30" r="D1151">
        <v>136</v>
      </c>
      <c t="s" s="30" r="E1151">
        <v>4</v>
      </c>
      <c t="s" s="30" r="F1151">
        <v>4</v>
      </c>
      <c t="s" s="30" r="G1151">
        <v>239</v>
      </c>
      <c t="str" s="12" r="H1151">
        <f>HYPERLINK("http://sofifa.com/en/fifa13winter/player/149989-jonas-ramalho-chimeno","Ramalho")</f>
        <v>Ramalho</v>
      </c>
      <c s="30" r="I1151">
        <v>69</v>
      </c>
      <c t="s" s="30" r="J1151">
        <v>109</v>
      </c>
      <c t="s" s="30" r="K1151">
        <v>150</v>
      </c>
      <c t="s" s="30" r="L1151">
        <v>115</v>
      </c>
      <c s="30" r="M1151">
        <v>19</v>
      </c>
      <c s="26" r="N1151">
        <v>1.9</v>
      </c>
      <c s="23" r="O1151">
        <v>0.005</v>
      </c>
      <c s="7" r="P1151"/>
      <c s="7" r="Q1151"/>
      <c s="7" r="R1151">
        <f>IF((P1151&gt;0),O1151,0)</f>
        <v>0</v>
      </c>
      <c t="str" r="S1151">
        <f>CONCATENATE(F1151,E1151)</f>
        <v>NON FTLNON FTL</v>
      </c>
    </row>
    <row r="1152">
      <c t="s" s="7" r="A1152">
        <v>201</v>
      </c>
      <c s="7" r="B1152">
        <v>1179</v>
      </c>
      <c s="30" r="C1152">
        <v>5</v>
      </c>
      <c t="s" s="30" r="D1152">
        <v>136</v>
      </c>
      <c t="s" s="30" r="E1152">
        <v>4</v>
      </c>
      <c t="s" s="30" r="F1152">
        <v>4</v>
      </c>
      <c t="s" s="30" r="G1152">
        <v>239</v>
      </c>
      <c t="str" s="12" r="H1152">
        <f>HYPERLINK("http://sofifa.com/en/fifa13winter/player/146994-fernando-amorebieta-mardaras","Amorebieta")</f>
        <v>Amorebieta</v>
      </c>
      <c s="30" r="I1152">
        <v>80</v>
      </c>
      <c t="s" s="30" r="J1152">
        <v>113</v>
      </c>
      <c t="s" s="30" r="K1152">
        <v>165</v>
      </c>
      <c t="s" s="30" r="L1152">
        <v>179</v>
      </c>
      <c s="30" r="M1152">
        <v>27</v>
      </c>
      <c s="26" r="N1152">
        <v>10</v>
      </c>
      <c s="23" r="O1152">
        <v>0.03</v>
      </c>
      <c s="7" r="P1152"/>
      <c s="7" r="Q1152"/>
      <c s="7" r="R1152">
        <f>IF((P1152&gt;0),O1152,0)</f>
        <v>0</v>
      </c>
      <c t="str" r="S1152">
        <f>CONCATENATE(F1152,E1152)</f>
        <v>NON FTLNON FTL</v>
      </c>
    </row>
    <row r="1153">
      <c t="s" s="7" r="A1153">
        <v>201</v>
      </c>
      <c s="7" r="B1153">
        <v>1180</v>
      </c>
      <c s="30" r="C1153">
        <v>9</v>
      </c>
      <c t="s" s="30" r="D1153">
        <v>136</v>
      </c>
      <c t="s" s="30" r="E1153">
        <v>4</v>
      </c>
      <c t="s" s="30" r="F1153">
        <v>4</v>
      </c>
      <c t="s" s="30" r="G1153">
        <v>239</v>
      </c>
      <c t="str" s="12" r="H1153">
        <f>HYPERLINK("http://sofifa.com/en/fifa13winter/player/146963-fernando-llorente-torres","Fernando Llorente")</f>
        <v>Fernando Llorente</v>
      </c>
      <c s="30" r="I1153">
        <v>83</v>
      </c>
      <c t="s" s="30" r="J1153">
        <v>129</v>
      </c>
      <c t="s" s="30" r="K1153">
        <v>176</v>
      </c>
      <c t="s" s="30" r="L1153">
        <v>178</v>
      </c>
      <c s="30" r="M1153">
        <v>27</v>
      </c>
      <c s="26" r="N1153">
        <v>22.3</v>
      </c>
      <c s="23" r="O1153">
        <v>0.068</v>
      </c>
      <c s="7" r="P1153"/>
      <c s="7" r="Q1153"/>
      <c s="7" r="R1153">
        <f>IF((P1153&gt;0),O1153,0)</f>
        <v>0</v>
      </c>
      <c t="str" r="S1153">
        <f>CONCATENATE(F1153,E1153)</f>
        <v>NON FTLNON FTL</v>
      </c>
    </row>
    <row r="1154">
      <c t="s" s="7" r="A1154">
        <v>201</v>
      </c>
      <c s="7" r="B1154">
        <v>1181</v>
      </c>
      <c s="30" r="C1154">
        <v>13</v>
      </c>
      <c t="s" s="30" r="D1154">
        <v>136</v>
      </c>
      <c t="s" s="30" r="E1154">
        <v>4</v>
      </c>
      <c t="s" s="30" r="F1154">
        <v>4</v>
      </c>
      <c t="s" s="30" r="G1154">
        <v>239</v>
      </c>
      <c t="str" s="12" r="H1154">
        <f>HYPERLINK("http://sofifa.com/en/fifa13winter/player/148074-raul-fdez-cavada-mateos","Raúl Fernández")</f>
        <v>Raúl Fernández</v>
      </c>
      <c s="30" r="I1154">
        <v>68</v>
      </c>
      <c t="s" s="30" r="J1154">
        <v>106</v>
      </c>
      <c t="s" s="30" r="K1154">
        <v>198</v>
      </c>
      <c t="s" s="30" r="L1154">
        <v>175</v>
      </c>
      <c s="30" r="M1154">
        <v>24</v>
      </c>
      <c s="26" r="N1154">
        <v>1.3</v>
      </c>
      <c s="23" r="O1154">
        <v>0.006</v>
      </c>
      <c s="7" r="P1154"/>
      <c s="7" r="Q1154"/>
      <c s="7" r="R1154">
        <f>IF((P1154&gt;0),O1154,0)</f>
        <v>0</v>
      </c>
      <c t="str" r="S1154">
        <f>CONCATENATE(F1154,E1154)</f>
        <v>NON FTLNON FTL</v>
      </c>
    </row>
    <row r="1155">
      <c t="s" s="7" r="A1155">
        <v>201</v>
      </c>
      <c s="7" r="B1155">
        <v>1182</v>
      </c>
      <c s="30" r="C1155">
        <v>34</v>
      </c>
      <c t="s" s="30" r="D1155">
        <v>147</v>
      </c>
      <c t="s" s="30" r="E1155">
        <v>4</v>
      </c>
      <c t="s" s="30" r="F1155">
        <v>4</v>
      </c>
      <c t="s" s="30" r="G1155">
        <v>239</v>
      </c>
      <c t="str" s="12" r="H1155">
        <f>HYPERLINK("http://sofifa.com/en/fifa13winter/player/148377-unai-albizua-urquijo","Albizua")</f>
        <v>Albizua</v>
      </c>
      <c s="30" r="I1155">
        <v>62</v>
      </c>
      <c t="s" s="30" r="J1155">
        <v>113</v>
      </c>
      <c t="s" s="30" r="K1155">
        <v>150</v>
      </c>
      <c t="s" s="30" r="L1155">
        <v>158</v>
      </c>
      <c s="30" r="M1155">
        <v>23</v>
      </c>
      <c s="26" r="N1155">
        <v>0.7</v>
      </c>
      <c s="23" r="O1155">
        <v>0.004</v>
      </c>
      <c s="7" r="P1155"/>
      <c s="7" r="Q1155"/>
      <c s="7" r="R1155">
        <f>IF((P1155&gt;0),O1155,0)</f>
        <v>0</v>
      </c>
      <c t="str" r="S1155">
        <f>CONCATENATE(F1155,E1155)</f>
        <v>NON FTLNON FTL</v>
      </c>
    </row>
    <row r="1156">
      <c t="s" s="7" r="A1156">
        <v>201</v>
      </c>
      <c s="7" r="B1156">
        <v>1183</v>
      </c>
      <c s="30" r="C1156">
        <v>29</v>
      </c>
      <c t="s" s="30" r="D1156">
        <v>147</v>
      </c>
      <c t="s" s="30" r="E1156">
        <v>4</v>
      </c>
      <c t="s" s="30" r="F1156">
        <v>4</v>
      </c>
      <c t="s" s="30" r="G1156">
        <v>239</v>
      </c>
      <c t="str" s="12" r="H1156">
        <f>HYPERLINK("http://sofifa.com/en/fifa13winter/player/150604-markel-etxeberria-mendiola","Etxeberría")</f>
        <v>Etxeberría</v>
      </c>
      <c s="30" r="I1156">
        <v>61</v>
      </c>
      <c t="s" s="30" r="J1156">
        <v>113</v>
      </c>
      <c t="s" s="30" r="K1156">
        <v>114</v>
      </c>
      <c t="s" s="30" r="L1156">
        <v>146</v>
      </c>
      <c s="30" r="M1156">
        <v>17</v>
      </c>
      <c s="26" r="N1156">
        <v>0.7</v>
      </c>
      <c s="23" r="O1156">
        <v>0.003</v>
      </c>
      <c s="7" r="P1156"/>
      <c s="7" r="Q1156"/>
      <c s="7" r="R1156">
        <f>IF((P1156&gt;0),O1156,0)</f>
        <v>0</v>
      </c>
      <c t="str" r="S1156">
        <f>CONCATENATE(F1156,E1156)</f>
        <v>NON FTLNON FTL</v>
      </c>
    </row>
    <row r="1157">
      <c t="s" s="7" r="A1157">
        <v>201</v>
      </c>
      <c s="7" r="B1157">
        <v>1184</v>
      </c>
      <c s="30" r="C1157">
        <v>30</v>
      </c>
      <c t="s" s="30" r="D1157">
        <v>147</v>
      </c>
      <c t="s" s="30" r="E1157">
        <v>4</v>
      </c>
      <c t="s" s="30" r="F1157">
        <v>4</v>
      </c>
      <c t="s" s="30" r="G1157">
        <v>239</v>
      </c>
      <c t="str" s="12" r="H1157">
        <f>HYPERLINK("http://sofifa.com/en/fifa13winter/player/150469-kepa-arrizabalaga","Kepa Arrizabalaga")</f>
        <v>Kepa Arrizabalaga</v>
      </c>
      <c s="30" r="I1157">
        <v>66</v>
      </c>
      <c t="s" s="30" r="J1157">
        <v>106</v>
      </c>
      <c t="s" s="30" r="K1157">
        <v>173</v>
      </c>
      <c t="s" s="30" r="L1157">
        <v>183</v>
      </c>
      <c s="30" r="M1157">
        <v>17</v>
      </c>
      <c s="26" r="N1157">
        <v>1.2</v>
      </c>
      <c s="23" r="O1157">
        <v>0.004</v>
      </c>
      <c s="7" r="P1157"/>
      <c s="7" r="Q1157"/>
      <c s="7" r="R1157">
        <f>IF((P1157&gt;0),O1157,0)</f>
        <v>0</v>
      </c>
      <c t="str" r="S1157">
        <f>CONCATENATE(F1157,E1157)</f>
        <v>NON FTLNON FTL</v>
      </c>
    </row>
    <row r="1158">
      <c t="s" s="7" r="A1158">
        <v>201</v>
      </c>
      <c s="7" r="B1158">
        <v>1185</v>
      </c>
      <c s="30" r="C1158">
        <v>31</v>
      </c>
      <c t="s" s="30" r="D1158">
        <v>147</v>
      </c>
      <c t="s" s="30" r="E1158">
        <v>4</v>
      </c>
      <c t="s" s="30" r="F1158">
        <v>4</v>
      </c>
      <c t="s" s="30" r="G1158">
        <v>239</v>
      </c>
      <c t="str" s="12" r="H1158">
        <f>HYPERLINK("http://sofifa.com/en/fifa13winter/player/149971-guillermo-fernandez-hierro","Guillermo")</f>
        <v>Guillermo</v>
      </c>
      <c s="30" r="I1158">
        <v>64</v>
      </c>
      <c t="s" s="30" r="J1158">
        <v>171</v>
      </c>
      <c t="s" s="30" r="K1158">
        <v>150</v>
      </c>
      <c t="s" s="30" r="L1158">
        <v>142</v>
      </c>
      <c s="30" r="M1158">
        <v>19</v>
      </c>
      <c s="26" r="N1158">
        <v>1.2</v>
      </c>
      <c s="23" r="O1158">
        <v>0.004</v>
      </c>
      <c s="7" r="P1158"/>
      <c s="7" r="Q1158"/>
      <c s="7" r="R1158">
        <f>IF((P1158&gt;0),O1158,0)</f>
        <v>0</v>
      </c>
      <c t="str" r="S1158">
        <f>CONCATENATE(F1158,E1158)</f>
        <v>NON FTLNON FTL</v>
      </c>
    </row>
    <row r="1159">
      <c t="s" s="7" r="A1159">
        <v>201</v>
      </c>
      <c s="7" r="B1159">
        <v>1186</v>
      </c>
      <c s="30" r="C1159">
        <v>41</v>
      </c>
      <c t="s" s="30" r="D1159">
        <v>147</v>
      </c>
      <c t="s" s="30" r="E1159">
        <v>4</v>
      </c>
      <c t="s" s="30" r="F1159">
        <v>4</v>
      </c>
      <c t="s" s="30" r="G1159">
        <v>239</v>
      </c>
      <c t="str" s="12" r="H1159">
        <f>HYPERLINK("http://sofifa.com/en/fifa13winter/player/148664-jon-ander-serantes-simon","Serantes")</f>
        <v>Serantes</v>
      </c>
      <c s="30" r="I1159">
        <v>65</v>
      </c>
      <c t="s" s="30" r="J1159">
        <v>106</v>
      </c>
      <c t="s" s="30" r="K1159">
        <v>143</v>
      </c>
      <c t="s" s="30" r="L1159">
        <v>160</v>
      </c>
      <c s="30" r="M1159">
        <v>22</v>
      </c>
      <c s="26" r="N1159">
        <v>0.9</v>
      </c>
      <c s="23" r="O1159">
        <v>0.004</v>
      </c>
      <c s="7" r="P1159"/>
      <c s="7" r="Q1159"/>
      <c s="7" r="R1159">
        <f>IF((P1159&gt;0),O1159,0)</f>
        <v>0</v>
      </c>
      <c t="str" r="S1159">
        <f>CONCATENATE(F1159,E1159)</f>
        <v>NON FTLNON FTL</v>
      </c>
    </row>
    <row r="1160">
      <c t="s" s="7" r="A1160">
        <v>201</v>
      </c>
      <c s="7" r="B1160">
        <v>1187</v>
      </c>
      <c s="30" r="C1160">
        <v>36</v>
      </c>
      <c t="s" s="30" r="D1160">
        <v>147</v>
      </c>
      <c t="s" s="30" r="E1160">
        <v>4</v>
      </c>
      <c t="s" s="30" r="F1160">
        <v>4</v>
      </c>
      <c t="s" s="30" r="G1160">
        <v>239</v>
      </c>
      <c t="str" s="12" r="H1160">
        <f>HYPERLINK("http://sofifa.com/en/fifa13winter/player/149803-iker-guarrotxena-vallejo","Iker Guarrotxena")</f>
        <v>Iker Guarrotxena</v>
      </c>
      <c s="30" r="I1160">
        <v>57</v>
      </c>
      <c t="s" s="30" r="J1160">
        <v>124</v>
      </c>
      <c t="s" s="30" r="K1160">
        <v>159</v>
      </c>
      <c t="s" s="30" r="L1160">
        <v>125</v>
      </c>
      <c s="30" r="M1160">
        <v>19</v>
      </c>
      <c s="26" r="N1160">
        <v>0.2</v>
      </c>
      <c s="23" r="O1160">
        <v>0.002</v>
      </c>
      <c s="7" r="P1160"/>
      <c s="7" r="Q1160"/>
      <c s="7" r="R1160">
        <f>IF((P1160&gt;0),O1160,0)</f>
        <v>0</v>
      </c>
      <c t="str" r="S1160">
        <f>CONCATENATE(F1160,E1160)</f>
        <v>NON FTLNON FTL</v>
      </c>
    </row>
    <row r="1161">
      <c t="s" s="7" r="A1161">
        <v>201</v>
      </c>
      <c s="7" r="B1161">
        <v>1188</v>
      </c>
      <c s="30" r="C1161">
        <v>39</v>
      </c>
      <c t="s" s="30" r="D1161">
        <v>147</v>
      </c>
      <c t="s" s="30" r="E1161">
        <v>4</v>
      </c>
      <c t="s" s="30" r="F1161">
        <v>4</v>
      </c>
      <c t="s" s="30" r="G1161">
        <v>239</v>
      </c>
      <c t="str" s="12" r="H1161">
        <f>HYPERLINK("http://sofifa.com/en/fifa13winter/player/149242-erik-moran-arribas","Morán")</f>
        <v>Morán</v>
      </c>
      <c s="30" r="I1161">
        <v>65</v>
      </c>
      <c t="s" s="30" r="J1161">
        <v>154</v>
      </c>
      <c t="s" s="30" r="K1161">
        <v>155</v>
      </c>
      <c t="s" s="30" r="L1161">
        <v>160</v>
      </c>
      <c s="30" r="M1161">
        <v>21</v>
      </c>
      <c s="26" r="N1161">
        <v>1</v>
      </c>
      <c s="23" r="O1161">
        <v>0.004</v>
      </c>
      <c s="7" r="P1161"/>
      <c s="7" r="Q1161"/>
      <c s="7" r="R1161">
        <f>IF((P1161&gt;0),O1161,0)</f>
        <v>0</v>
      </c>
      <c t="str" r="S1161">
        <f>CONCATENATE(F1161,E1161)</f>
        <v>NON FTLNON FTL</v>
      </c>
    </row>
    <row r="1162">
      <c t="s" s="7" r="A1162">
        <v>201</v>
      </c>
      <c s="7" r="B1162">
        <v>1189</v>
      </c>
      <c s="30" r="C1162">
        <v>32</v>
      </c>
      <c t="s" s="30" r="D1162">
        <v>147</v>
      </c>
      <c t="s" s="30" r="E1162">
        <v>4</v>
      </c>
      <c t="s" s="30" r="F1162">
        <v>4</v>
      </c>
      <c t="s" s="30" r="G1162">
        <v>239</v>
      </c>
      <c t="str" s="12" r="H1162">
        <f>HYPERLINK("http://sofifa.com/en/fifa13winter/player/149580-enric-saborit-teixidor","Saborit")</f>
        <v>Saborit</v>
      </c>
      <c s="30" r="I1162">
        <v>65</v>
      </c>
      <c t="s" s="30" r="J1162">
        <v>117</v>
      </c>
      <c t="s" s="30" r="K1162">
        <v>173</v>
      </c>
      <c t="s" s="30" r="L1162">
        <v>146</v>
      </c>
      <c s="30" r="M1162">
        <v>20</v>
      </c>
      <c s="26" r="N1162">
        <v>1</v>
      </c>
      <c s="23" r="O1162">
        <v>0.004</v>
      </c>
      <c s="7" r="P1162"/>
      <c s="7" r="Q1162"/>
      <c s="7" r="R1162">
        <f>IF((P1162&gt;0),O1162,0)</f>
        <v>0</v>
      </c>
      <c t="str" r="S1162">
        <f>CONCATENATE(F1162,E1162)</f>
        <v>NON FTLNON FTL</v>
      </c>
    </row>
    <row r="1163">
      <c t="s" s="7" r="A1163">
        <v>201</v>
      </c>
      <c s="7" r="B1163">
        <v>1190</v>
      </c>
      <c s="30" r="C1163">
        <v>26</v>
      </c>
      <c t="s" s="30" r="D1163">
        <v>147</v>
      </c>
      <c t="s" s="30" r="E1163">
        <v>4</v>
      </c>
      <c t="s" s="30" r="F1163">
        <v>4</v>
      </c>
      <c t="s" s="30" r="G1163">
        <v>239</v>
      </c>
      <c t="str" s="12" r="H1163">
        <f>HYPERLINK("http://sofifa.com/en/fifa13winter/player/148567-igor-martinez-caseras","Igor Martínez")</f>
        <v>Igor Martínez</v>
      </c>
      <c s="30" r="I1163">
        <v>66</v>
      </c>
      <c t="s" s="30" r="J1163">
        <v>157</v>
      </c>
      <c t="s" s="30" r="K1163">
        <v>121</v>
      </c>
      <c t="s" s="30" r="L1163">
        <v>149</v>
      </c>
      <c s="30" r="M1163">
        <v>23</v>
      </c>
      <c s="26" r="N1163">
        <v>1.3</v>
      </c>
      <c s="23" r="O1163">
        <v>0.005</v>
      </c>
      <c s="7" r="P1163"/>
      <c s="7" r="Q1163"/>
      <c s="7" r="R1163">
        <f>IF((P1163&gt;0),O1163,0)</f>
        <v>0</v>
      </c>
      <c t="str" r="S1163">
        <f>CONCATENATE(F1163,E1163)</f>
        <v>NON FTLNON FTL</v>
      </c>
    </row>
    <row r="1164">
      <c t="s" s="7" r="A1164">
        <v>201</v>
      </c>
      <c s="7" r="B1164">
        <v>1191</v>
      </c>
      <c s="30" r="C1164">
        <v>37</v>
      </c>
      <c t="s" s="30" r="D1164">
        <v>147</v>
      </c>
      <c t="s" s="30" r="E1164">
        <v>4</v>
      </c>
      <c t="s" s="30" r="F1164">
        <v>4</v>
      </c>
      <c t="s" s="30" r="G1164">
        <v>239</v>
      </c>
      <c t="str" s="12" r="H1164">
        <f>HYPERLINK("http://sofifa.com/en/fifa13winter/player/150192-ager-aketxe-barrutia","Aketxe")</f>
        <v>Aketxe</v>
      </c>
      <c s="30" r="I1164">
        <v>61</v>
      </c>
      <c t="s" s="30" r="J1164">
        <v>124</v>
      </c>
      <c t="s" s="30" r="K1164">
        <v>187</v>
      </c>
      <c t="s" s="30" r="L1164">
        <v>115</v>
      </c>
      <c s="30" r="M1164">
        <v>18</v>
      </c>
      <c s="26" r="N1164">
        <v>0.7</v>
      </c>
      <c s="23" r="O1164">
        <v>0.003</v>
      </c>
      <c s="7" r="P1164"/>
      <c s="7" r="Q1164"/>
      <c s="7" r="R1164">
        <f>IF((P1164&gt;0),O1164,0)</f>
        <v>0</v>
      </c>
      <c t="str" r="S1164">
        <f>CONCATENATE(F1164,E1164)</f>
        <v>NON FTLNON FTL</v>
      </c>
    </row>
    <row r="1165">
      <c t="s" s="7" r="A1165">
        <v>201</v>
      </c>
      <c s="7" r="B1165">
        <v>1192</v>
      </c>
      <c s="30" r="C1165">
        <v>1</v>
      </c>
      <c t="s" s="30" r="D1165">
        <v>106</v>
      </c>
      <c t="s" s="30" r="E1165">
        <v>4</v>
      </c>
      <c t="s" s="30" r="F1165">
        <v>4</v>
      </c>
      <c t="s" s="30" r="G1165">
        <v>240</v>
      </c>
      <c t="str" s="12" r="H1165">
        <f>HYPERLINK("http://sofifa.com/en/fifa13winter/player/146278-claudio-bravo","C. Bravo")</f>
        <v>C. Bravo</v>
      </c>
      <c s="30" r="I1165">
        <v>80</v>
      </c>
      <c t="s" s="30" r="J1165">
        <v>106</v>
      </c>
      <c t="s" s="30" r="K1165">
        <v>132</v>
      </c>
      <c t="s" s="30" r="L1165">
        <v>156</v>
      </c>
      <c s="30" r="M1165">
        <v>29</v>
      </c>
      <c s="26" r="N1165">
        <v>7.2</v>
      </c>
      <c s="23" r="O1165">
        <v>0.032</v>
      </c>
      <c s="7" r="P1165"/>
      <c s="7" r="Q1165"/>
      <c s="7" r="R1165">
        <f>IF((P1165&gt;0),O1165,0)</f>
        <v>0</v>
      </c>
      <c t="str" r="S1165">
        <f>CONCATENATE(F1165,E1165)</f>
        <v>NON FTLNON FTL</v>
      </c>
    </row>
    <row r="1166">
      <c t="s" s="7" r="A1166">
        <v>201</v>
      </c>
      <c s="7" r="B1166">
        <v>1193</v>
      </c>
      <c s="30" r="C1166">
        <v>2</v>
      </c>
      <c t="s" s="30" r="D1166">
        <v>109</v>
      </c>
      <c t="s" s="30" r="E1166">
        <v>4</v>
      </c>
      <c t="s" s="30" r="F1166">
        <v>4</v>
      </c>
      <c t="s" s="30" r="G1166">
        <v>240</v>
      </c>
      <c t="str" s="12" r="H1166">
        <f>HYPERLINK("http://sofifa.com/en/fifa13winter/player/147370-carlos-martinez-diaz","Carlos Martinez")</f>
        <v>Carlos Martinez</v>
      </c>
      <c s="30" r="I1166">
        <v>76</v>
      </c>
      <c t="s" s="30" r="J1166">
        <v>109</v>
      </c>
      <c t="s" s="30" r="K1166">
        <v>169</v>
      </c>
      <c t="s" s="30" r="L1166">
        <v>158</v>
      </c>
      <c s="30" r="M1166">
        <v>26</v>
      </c>
      <c s="26" r="N1166">
        <v>4.5</v>
      </c>
      <c s="23" r="O1166">
        <v>0.015</v>
      </c>
      <c s="7" r="P1166"/>
      <c s="7" r="Q1166"/>
      <c s="7" r="R1166">
        <f>IF((P1166&gt;0),O1166,0)</f>
        <v>0</v>
      </c>
      <c t="str" r="S1166">
        <f>CONCATENATE(F1166,E1166)</f>
        <v>NON FTLNON FTL</v>
      </c>
    </row>
    <row r="1167">
      <c t="s" s="7" r="A1167">
        <v>201</v>
      </c>
      <c s="7" r="B1167">
        <v>1194</v>
      </c>
      <c s="30" r="C1167">
        <v>3</v>
      </c>
      <c t="s" s="30" r="D1167">
        <v>112</v>
      </c>
      <c t="s" s="30" r="E1167">
        <v>4</v>
      </c>
      <c t="s" s="30" r="F1167">
        <v>4</v>
      </c>
      <c t="s" s="30" r="G1167">
        <v>240</v>
      </c>
      <c t="str" s="12" r="H1167">
        <f>HYPERLINK("http://sofifa.com/en/fifa13winter/player/147173-mikel-gonzalez-martinez","Mikel Gonzalez")</f>
        <v>Mikel Gonzalez</v>
      </c>
      <c s="30" r="I1167">
        <v>75</v>
      </c>
      <c t="s" s="30" r="J1167">
        <v>113</v>
      </c>
      <c t="s" s="30" r="K1167">
        <v>152</v>
      </c>
      <c t="s" s="30" r="L1167">
        <v>158</v>
      </c>
      <c s="30" r="M1167">
        <v>26</v>
      </c>
      <c s="26" r="N1167">
        <v>4</v>
      </c>
      <c s="23" r="O1167">
        <v>0.013</v>
      </c>
      <c s="7" r="P1167"/>
      <c s="7" r="Q1167"/>
      <c s="7" r="R1167">
        <f>IF((P1167&gt;0),O1167,0)</f>
        <v>0</v>
      </c>
      <c t="str" r="S1167">
        <f>CONCATENATE(F1167,E1167)</f>
        <v>NON FTLNON FTL</v>
      </c>
    </row>
    <row r="1168">
      <c t="s" s="7" r="A1168">
        <v>201</v>
      </c>
      <c s="7" r="B1168">
        <v>1195</v>
      </c>
      <c s="30" r="C1168">
        <v>6</v>
      </c>
      <c t="s" s="30" r="D1168">
        <v>116</v>
      </c>
      <c t="s" s="30" r="E1168">
        <v>4</v>
      </c>
      <c t="s" s="30" r="F1168">
        <v>4</v>
      </c>
      <c t="s" s="30" r="G1168">
        <v>240</v>
      </c>
      <c t="str" s="12" r="H1168">
        <f>HYPERLINK("http://sofifa.com/en/fifa13winter/player/149234-inigo-martinez-berridi","Iñigo Martínez")</f>
        <v>Iñigo Martínez</v>
      </c>
      <c s="30" r="I1168">
        <v>78</v>
      </c>
      <c t="s" s="30" r="J1168">
        <v>113</v>
      </c>
      <c t="s" s="30" r="K1168">
        <v>150</v>
      </c>
      <c t="s" s="30" r="L1168">
        <v>138</v>
      </c>
      <c s="30" r="M1168">
        <v>21</v>
      </c>
      <c s="26" r="N1168">
        <v>7</v>
      </c>
      <c s="23" r="O1168">
        <v>0.017</v>
      </c>
      <c s="7" r="P1168"/>
      <c s="7" r="Q1168"/>
      <c s="7" r="R1168">
        <f>IF((P1168&gt;0),O1168,0)</f>
        <v>0</v>
      </c>
      <c t="str" r="S1168">
        <f>CONCATENATE(F1168,E1168)</f>
        <v>NON FTLNON FTL</v>
      </c>
    </row>
    <row r="1169">
      <c t="s" s="7" r="A1169">
        <v>201</v>
      </c>
      <c s="7" r="B1169">
        <v>1196</v>
      </c>
      <c s="30" r="C1169">
        <v>24</v>
      </c>
      <c t="s" s="30" r="D1169">
        <v>117</v>
      </c>
      <c t="s" s="30" r="E1169">
        <v>4</v>
      </c>
      <c t="s" s="30" r="F1169">
        <v>4</v>
      </c>
      <c t="s" s="30" r="G1169">
        <v>240</v>
      </c>
      <c t="str" s="12" r="H1169">
        <f>HYPERLINK("http://sofifa.com/en/fifa13winter/player/147242-alberto-de-la-bella-madueno","De la Bella")</f>
        <v>De la Bella</v>
      </c>
      <c s="30" r="I1169">
        <v>74</v>
      </c>
      <c t="s" s="30" r="J1169">
        <v>117</v>
      </c>
      <c t="s" s="30" r="K1169">
        <v>143</v>
      </c>
      <c t="s" s="30" r="L1169">
        <v>193</v>
      </c>
      <c s="30" r="M1169">
        <v>26</v>
      </c>
      <c s="26" r="N1169">
        <v>3.1</v>
      </c>
      <c s="23" r="O1169">
        <v>0.011</v>
      </c>
      <c s="7" r="P1169"/>
      <c s="7" r="Q1169"/>
      <c s="7" r="R1169">
        <f>IF((P1169&gt;0),O1169,0)</f>
        <v>0</v>
      </c>
      <c t="str" r="S1169">
        <f>CONCATENATE(F1169,E1169)</f>
        <v>NON FTLNON FTL</v>
      </c>
    </row>
    <row r="1170">
      <c t="s" s="7" r="A1170">
        <v>201</v>
      </c>
      <c s="7" r="B1170">
        <v>1197</v>
      </c>
      <c s="30" r="C1170">
        <v>5</v>
      </c>
      <c t="s" s="30" r="D1170">
        <v>123</v>
      </c>
      <c t="s" s="30" r="E1170">
        <v>4</v>
      </c>
      <c t="s" s="30" r="F1170">
        <v>4</v>
      </c>
      <c t="s" s="30" r="G1170">
        <v>240</v>
      </c>
      <c t="str" s="12" r="H1170">
        <f>HYPERLINK("http://sofifa.com/en/fifa13winter/player/147396-markel-bergara-larranaga","Markel Bergara")</f>
        <v>Markel Bergara</v>
      </c>
      <c s="30" r="I1170">
        <v>73</v>
      </c>
      <c t="s" s="30" r="J1170">
        <v>124</v>
      </c>
      <c t="s" s="30" r="K1170">
        <v>150</v>
      </c>
      <c t="s" s="30" r="L1170">
        <v>161</v>
      </c>
      <c s="30" r="M1170">
        <v>26</v>
      </c>
      <c s="26" r="N1170">
        <v>2.9</v>
      </c>
      <c s="23" r="O1170">
        <v>0.01</v>
      </c>
      <c s="7" r="P1170"/>
      <c s="7" r="Q1170"/>
      <c s="7" r="R1170">
        <f>IF((P1170&gt;0),O1170,0)</f>
        <v>0</v>
      </c>
      <c t="str" r="S1170">
        <f>CONCATENATE(F1170,E1170)</f>
        <v>NON FTLNON FTL</v>
      </c>
    </row>
    <row r="1171">
      <c t="s" s="7" r="A1171">
        <v>201</v>
      </c>
      <c s="7" r="B1171">
        <v>1198</v>
      </c>
      <c s="30" r="C1171">
        <v>8</v>
      </c>
      <c t="s" s="30" r="D1171">
        <v>126</v>
      </c>
      <c t="s" s="30" r="E1171">
        <v>4</v>
      </c>
      <c t="s" s="30" r="F1171">
        <v>4</v>
      </c>
      <c t="s" s="30" r="G1171">
        <v>240</v>
      </c>
      <c t="str" s="12" r="H1171">
        <f>HYPERLINK("http://sofifa.com/en/fifa13winter/player/148799-asier-illarramendi-a","Illarramendi")</f>
        <v>Illarramendi</v>
      </c>
      <c s="30" r="I1171">
        <v>75</v>
      </c>
      <c t="s" s="30" r="J1171">
        <v>124</v>
      </c>
      <c t="s" s="30" r="K1171">
        <v>145</v>
      </c>
      <c t="s" s="30" r="L1171">
        <v>137</v>
      </c>
      <c s="30" r="M1171">
        <v>22</v>
      </c>
      <c s="26" r="N1171">
        <v>4.4</v>
      </c>
      <c s="23" r="O1171">
        <v>0.012</v>
      </c>
      <c s="7" r="P1171"/>
      <c s="7" r="Q1171"/>
      <c s="7" r="R1171">
        <f>IF((P1171&gt;0),O1171,0)</f>
        <v>0</v>
      </c>
      <c t="str" r="S1171">
        <f>CONCATENATE(F1171,E1171)</f>
        <v>NON FTLNON FTL</v>
      </c>
    </row>
    <row r="1172">
      <c t="s" s="7" r="A1172">
        <v>201</v>
      </c>
      <c s="7" r="B1172">
        <v>1199</v>
      </c>
      <c s="30" r="C1172">
        <v>10</v>
      </c>
      <c t="s" s="30" r="D1172">
        <v>162</v>
      </c>
      <c t="s" s="30" r="E1172">
        <v>4</v>
      </c>
      <c t="s" s="30" r="F1172">
        <v>4</v>
      </c>
      <c t="s" s="30" r="G1172">
        <v>240</v>
      </c>
      <c t="str" s="12" r="H1172">
        <f>HYPERLINK("http://sofifa.com/en/fifa13winter/player/146416-xabier-prieto-argarate","Xabi Prieto")</f>
        <v>Xabi Prieto</v>
      </c>
      <c s="30" r="I1172">
        <v>80</v>
      </c>
      <c t="s" s="30" r="J1172">
        <v>162</v>
      </c>
      <c t="s" s="30" r="K1172">
        <v>173</v>
      </c>
      <c t="s" s="30" r="L1172">
        <v>137</v>
      </c>
      <c s="30" r="M1172">
        <v>29</v>
      </c>
      <c s="26" r="N1172">
        <v>10.5</v>
      </c>
      <c s="23" r="O1172">
        <v>0.032</v>
      </c>
      <c s="7" r="P1172"/>
      <c s="7" r="Q1172"/>
      <c s="7" r="R1172">
        <f>IF((P1172&gt;0),O1172,0)</f>
        <v>0</v>
      </c>
      <c t="str" r="S1172">
        <f>CONCATENATE(F1172,E1172)</f>
        <v>NON FTLNON FTL</v>
      </c>
    </row>
    <row r="1173">
      <c t="s" s="7" r="A1173">
        <v>201</v>
      </c>
      <c s="7" r="B1173">
        <v>1200</v>
      </c>
      <c s="30" r="C1173">
        <v>11</v>
      </c>
      <c t="s" s="30" r="D1173">
        <v>157</v>
      </c>
      <c t="s" s="30" r="E1173">
        <v>4</v>
      </c>
      <c t="s" s="30" r="F1173">
        <v>4</v>
      </c>
      <c t="s" s="30" r="G1173">
        <v>240</v>
      </c>
      <c t="str" s="12" r="H1173">
        <f>HYPERLINK("http://sofifa.com/en/fifa13winter/player/148427-carlos-vela","C. Vela")</f>
        <v>C. Vela</v>
      </c>
      <c s="30" r="I1173">
        <v>81</v>
      </c>
      <c t="s" s="30" r="J1173">
        <v>157</v>
      </c>
      <c t="s" s="30" r="K1173">
        <v>159</v>
      </c>
      <c t="s" s="30" r="L1173">
        <v>151</v>
      </c>
      <c s="30" r="M1173">
        <v>23</v>
      </c>
      <c s="26" r="N1173">
        <v>14.2</v>
      </c>
      <c s="23" r="O1173">
        <v>0.038</v>
      </c>
      <c s="7" r="P1173"/>
      <c s="7" r="Q1173"/>
      <c s="7" r="R1173">
        <f>IF((P1173&gt;0),O1173,0)</f>
        <v>0</v>
      </c>
      <c t="str" r="S1173">
        <f>CONCATENATE(F1173,E1173)</f>
        <v>NON FTLNON FTL</v>
      </c>
    </row>
    <row r="1174">
      <c t="s" s="7" r="A1174">
        <v>201</v>
      </c>
      <c s="7" r="B1174">
        <v>1201</v>
      </c>
      <c s="30" r="C1174">
        <v>9</v>
      </c>
      <c t="s" s="30" r="D1174">
        <v>129</v>
      </c>
      <c t="s" s="30" r="E1174">
        <v>4</v>
      </c>
      <c t="s" s="30" r="F1174">
        <v>4</v>
      </c>
      <c t="s" s="30" r="G1174">
        <v>240</v>
      </c>
      <c t="str" s="12" r="H1174">
        <f>HYPERLINK("http://sofifa.com/en/fifa13winter/player/147691-imanol-agirretxe-arruti","Agirretxe")</f>
        <v>Agirretxe</v>
      </c>
      <c s="30" r="I1174">
        <v>76</v>
      </c>
      <c t="s" s="30" r="J1174">
        <v>129</v>
      </c>
      <c t="s" s="30" r="K1174">
        <v>155</v>
      </c>
      <c t="s" s="30" r="L1174">
        <v>138</v>
      </c>
      <c s="30" r="M1174">
        <v>25</v>
      </c>
      <c s="26" r="N1174">
        <v>5.9</v>
      </c>
      <c s="23" r="O1174">
        <v>0.015</v>
      </c>
      <c s="7" r="P1174"/>
      <c s="7" r="Q1174"/>
      <c s="7" r="R1174">
        <f>IF((P1174&gt;0),O1174,0)</f>
        <v>0</v>
      </c>
      <c t="str" r="S1174">
        <f>CONCATENATE(F1174,E1174)</f>
        <v>NON FTLNON FTL</v>
      </c>
    </row>
    <row r="1175">
      <c t="s" s="7" r="A1175">
        <v>201</v>
      </c>
      <c s="7" r="B1175">
        <v>1202</v>
      </c>
      <c s="30" r="C1175">
        <v>7</v>
      </c>
      <c t="s" s="30" r="D1175">
        <v>170</v>
      </c>
      <c t="s" s="30" r="E1175">
        <v>4</v>
      </c>
      <c t="s" s="30" r="F1175">
        <v>4</v>
      </c>
      <c t="s" s="30" r="G1175">
        <v>240</v>
      </c>
      <c t="str" s="12" r="H1175">
        <f>HYPERLINK("http://sofifa.com/en/fifa13winter/player/149177-antoine-griezmann","A. Griezmann")</f>
        <v>A. Griezmann</v>
      </c>
      <c s="30" r="I1175">
        <v>79</v>
      </c>
      <c t="s" s="30" r="J1175">
        <v>170</v>
      </c>
      <c t="s" s="30" r="K1175">
        <v>172</v>
      </c>
      <c t="s" s="30" r="L1175">
        <v>115</v>
      </c>
      <c s="30" r="M1175">
        <v>21</v>
      </c>
      <c s="26" r="N1175">
        <v>8.7</v>
      </c>
      <c s="23" r="O1175">
        <v>0.019</v>
      </c>
      <c s="7" r="P1175"/>
      <c s="7" r="Q1175"/>
      <c s="7" r="R1175">
        <f>IF((P1175&gt;0),O1175,0)</f>
        <v>0</v>
      </c>
      <c t="str" r="S1175">
        <f>CONCATENATE(F1175,E1175)</f>
        <v>NON FTLNON FTL</v>
      </c>
    </row>
    <row r="1176">
      <c t="s" s="7" r="A1176">
        <v>201</v>
      </c>
      <c s="7" r="B1176">
        <v>1203</v>
      </c>
      <c s="30" r="C1176">
        <v>4</v>
      </c>
      <c t="s" s="30" r="D1176">
        <v>136</v>
      </c>
      <c t="s" s="30" r="E1176">
        <v>4</v>
      </c>
      <c t="s" s="30" r="F1176">
        <v>4</v>
      </c>
      <c t="s" s="30" r="G1176">
        <v>240</v>
      </c>
      <c t="str" s="12" r="H1176">
        <f>HYPERLINK("http://sofifa.com/en/fifa13winter/player/147713-gorka-elustondo-urkola","Elustondo")</f>
        <v>Elustondo</v>
      </c>
      <c s="30" r="I1176">
        <v>71</v>
      </c>
      <c t="s" s="30" r="J1176">
        <v>124</v>
      </c>
      <c t="s" s="30" r="K1176">
        <v>167</v>
      </c>
      <c t="s" s="30" r="L1176">
        <v>158</v>
      </c>
      <c s="30" r="M1176">
        <v>25</v>
      </c>
      <c s="26" r="N1176">
        <v>2.2</v>
      </c>
      <c s="23" r="O1176">
        <v>0.008</v>
      </c>
      <c s="7" r="P1176"/>
      <c s="7" r="Q1176"/>
      <c s="7" r="R1176">
        <f>IF((P1176&gt;0),O1176,0)</f>
        <v>0</v>
      </c>
      <c t="str" r="S1176">
        <f>CONCATENATE(F1176,E1176)</f>
        <v>NON FTLNON FTL</v>
      </c>
    </row>
    <row r="1177">
      <c t="s" s="7" r="A1177">
        <v>201</v>
      </c>
      <c s="7" r="B1177">
        <v>1204</v>
      </c>
      <c s="30" r="C1177">
        <v>13</v>
      </c>
      <c t="s" s="30" r="D1177">
        <v>136</v>
      </c>
      <c t="s" s="30" r="E1177">
        <v>4</v>
      </c>
      <c t="s" s="30" r="F1177">
        <v>4</v>
      </c>
      <c t="s" s="30" r="G1177">
        <v>240</v>
      </c>
      <c t="str" s="12" r="H1177">
        <f>HYPERLINK("http://sofifa.com/en/fifa13winter/player/146597-enaut-zubikarai-goni","Zubikarai")</f>
        <v>Zubikarai</v>
      </c>
      <c s="30" r="I1177">
        <v>68</v>
      </c>
      <c t="s" s="30" r="J1177">
        <v>106</v>
      </c>
      <c t="s" s="30" r="K1177">
        <v>132</v>
      </c>
      <c t="s" s="30" r="L1177">
        <v>156</v>
      </c>
      <c s="30" r="M1177">
        <v>28</v>
      </c>
      <c s="26" r="N1177">
        <v>1.2</v>
      </c>
      <c s="23" r="O1177">
        <v>0.006</v>
      </c>
      <c s="7" r="P1177"/>
      <c s="7" r="Q1177"/>
      <c s="7" r="R1177">
        <f>IF((P1177&gt;0),O1177,0)</f>
        <v>0</v>
      </c>
      <c t="str" r="S1177">
        <f>CONCATENATE(F1177,E1177)</f>
        <v>NON FTLNON FTL</v>
      </c>
    </row>
    <row r="1178">
      <c t="s" s="7" r="A1178">
        <v>201</v>
      </c>
      <c s="7" r="B1178">
        <v>1205</v>
      </c>
      <c s="30" r="C1178">
        <v>14</v>
      </c>
      <c t="s" s="30" r="D1178">
        <v>136</v>
      </c>
      <c t="s" s="30" r="E1178">
        <v>4</v>
      </c>
      <c t="s" s="30" r="F1178">
        <v>4</v>
      </c>
      <c t="s" s="30" r="G1178">
        <v>240</v>
      </c>
      <c t="str" s="12" r="H1178">
        <f>HYPERLINK("http://sofifa.com/en/fifa13winter/player/149758-ruben-pardo-gutierrez","Rubén Pardo")</f>
        <v>Rubén Pardo</v>
      </c>
      <c s="30" r="I1178">
        <v>72</v>
      </c>
      <c t="s" s="30" r="J1178">
        <v>124</v>
      </c>
      <c t="s" s="30" r="K1178">
        <v>143</v>
      </c>
      <c t="s" s="30" r="L1178">
        <v>115</v>
      </c>
      <c s="30" r="M1178">
        <v>19</v>
      </c>
      <c s="26" r="N1178">
        <v>2.9</v>
      </c>
      <c s="23" r="O1178">
        <v>0.007</v>
      </c>
      <c s="7" r="P1178"/>
      <c s="7" r="Q1178"/>
      <c s="7" r="R1178">
        <f>IF((P1178&gt;0),O1178,0)</f>
        <v>0</v>
      </c>
      <c t="str" r="S1178">
        <f>CONCATENATE(F1178,E1178)</f>
        <v>NON FTLNON FTL</v>
      </c>
    </row>
    <row r="1179">
      <c t="s" s="7" r="A1179">
        <v>201</v>
      </c>
      <c s="7" r="B1179">
        <v>1206</v>
      </c>
      <c s="30" r="C1179">
        <v>21</v>
      </c>
      <c t="s" s="30" r="D1179">
        <v>136</v>
      </c>
      <c t="s" s="30" r="E1179">
        <v>4</v>
      </c>
      <c t="s" s="30" r="F1179">
        <v>4</v>
      </c>
      <c t="s" s="30" r="G1179">
        <v>240</v>
      </c>
      <c t="str" s="12" r="H1179">
        <f>HYPERLINK("http://sofifa.com/en/fifa13winter/player/147795-diego-ifran","D. Ifrán")</f>
        <v>D. Ifrán</v>
      </c>
      <c s="30" r="I1179">
        <v>73</v>
      </c>
      <c t="s" s="30" r="J1179">
        <v>171</v>
      </c>
      <c t="s" s="30" r="K1179">
        <v>182</v>
      </c>
      <c t="s" s="30" r="L1179">
        <v>137</v>
      </c>
      <c s="30" r="M1179">
        <v>25</v>
      </c>
      <c s="26" r="N1179">
        <v>3.6</v>
      </c>
      <c s="23" r="O1179">
        <v>0.01</v>
      </c>
      <c s="7" r="P1179"/>
      <c s="7" r="Q1179"/>
      <c s="7" r="R1179">
        <f>IF((P1179&gt;0),O1179,0)</f>
        <v>0</v>
      </c>
      <c t="str" r="S1179">
        <f>CONCATENATE(F1179,E1179)</f>
        <v>NON FTLNON FTL</v>
      </c>
    </row>
    <row r="1180">
      <c t="s" s="7" r="A1180">
        <v>201</v>
      </c>
      <c s="7" r="B1180">
        <v>1207</v>
      </c>
      <c s="30" r="C1180">
        <v>32</v>
      </c>
      <c t="s" s="30" r="D1180">
        <v>136</v>
      </c>
      <c t="s" s="30" r="E1180">
        <v>4</v>
      </c>
      <c t="s" s="30" r="F1180">
        <v>4</v>
      </c>
      <c t="s" s="30" r="G1180">
        <v>240</v>
      </c>
      <c t="str" s="12" r="H1180">
        <f>HYPERLINK("http://sofifa.com/en/fifa13winter/player/149276-jon-gaztanaga-arrospide","Gaztañaga")</f>
        <v>Gaztañaga</v>
      </c>
      <c s="30" r="I1180">
        <v>65</v>
      </c>
      <c t="s" s="30" r="J1180">
        <v>113</v>
      </c>
      <c t="s" s="30" r="K1180">
        <v>143</v>
      </c>
      <c t="s" s="30" r="L1180">
        <v>161</v>
      </c>
      <c s="30" r="M1180">
        <v>21</v>
      </c>
      <c s="26" r="N1180">
        <v>1</v>
      </c>
      <c s="23" r="O1180">
        <v>0.004</v>
      </c>
      <c s="7" r="P1180"/>
      <c s="7" r="Q1180"/>
      <c s="7" r="R1180">
        <f>IF((P1180&gt;0),O1180,0)</f>
        <v>0</v>
      </c>
      <c t="str" r="S1180">
        <f>CONCATENATE(F1180,E1180)</f>
        <v>NON FTLNON FTL</v>
      </c>
    </row>
    <row r="1181">
      <c t="s" s="7" r="A1181">
        <v>201</v>
      </c>
      <c s="7" r="B1181">
        <v>1208</v>
      </c>
      <c s="30" r="C1181">
        <v>19</v>
      </c>
      <c t="s" s="30" r="D1181">
        <v>136</v>
      </c>
      <c t="s" s="30" r="E1181">
        <v>4</v>
      </c>
      <c t="s" s="30" r="F1181">
        <v>4</v>
      </c>
      <c t="s" s="30" r="G1181">
        <v>240</v>
      </c>
      <c t="str" s="12" r="H1181">
        <f>HYPERLINK("http://sofifa.com/en/fifa13winter/player/148066-liassine-cadamuro","L. Cadamuro")</f>
        <v>L. Cadamuro</v>
      </c>
      <c s="30" r="I1181">
        <v>70</v>
      </c>
      <c t="s" s="30" r="J1181">
        <v>113</v>
      </c>
      <c t="s" s="30" r="K1181">
        <v>134</v>
      </c>
      <c t="s" s="30" r="L1181">
        <v>183</v>
      </c>
      <c s="30" r="M1181">
        <v>24</v>
      </c>
      <c s="26" r="N1181">
        <v>1.9</v>
      </c>
      <c s="23" r="O1181">
        <v>0.007</v>
      </c>
      <c s="7" r="P1181"/>
      <c s="7" r="Q1181"/>
      <c s="7" r="R1181">
        <f>IF((P1181&gt;0),O1181,0)</f>
        <v>0</v>
      </c>
      <c t="str" r="S1181">
        <f>CONCATENATE(F1181,E1181)</f>
        <v>NON FTLNON FTL</v>
      </c>
    </row>
    <row r="1182">
      <c t="s" s="7" r="A1182">
        <v>201</v>
      </c>
      <c s="7" r="B1182">
        <v>1209</v>
      </c>
      <c s="30" r="C1182">
        <v>23</v>
      </c>
      <c t="s" s="30" r="D1182">
        <v>136</v>
      </c>
      <c t="s" s="30" r="E1182">
        <v>4</v>
      </c>
      <c t="s" s="30" r="F1182">
        <v>4</v>
      </c>
      <c t="s" s="30" r="G1182">
        <v>240</v>
      </c>
      <c t="str" s="12" r="H1182">
        <f>HYPERLINK("http://sofifa.com/en/fifa13winter/player/148779-javier-ros-anon","Ros")</f>
        <v>Ros</v>
      </c>
      <c s="30" r="I1182">
        <v>68</v>
      </c>
      <c t="s" s="30" r="J1182">
        <v>124</v>
      </c>
      <c t="s" s="30" r="K1182">
        <v>182</v>
      </c>
      <c t="s" s="30" r="L1182">
        <v>111</v>
      </c>
      <c s="30" r="M1182">
        <v>22</v>
      </c>
      <c s="26" r="N1182">
        <v>1.6</v>
      </c>
      <c s="23" r="O1182">
        <v>0.006</v>
      </c>
      <c s="7" r="P1182"/>
      <c s="7" r="Q1182"/>
      <c s="7" r="R1182">
        <f>IF((P1182&gt;0),O1182,0)</f>
        <v>0</v>
      </c>
      <c t="str" r="S1182">
        <f>CONCATENATE(F1182,E1182)</f>
        <v>NON FTLNON FTL</v>
      </c>
    </row>
    <row r="1183">
      <c t="s" s="7" r="A1183">
        <v>201</v>
      </c>
      <c s="7" r="B1183">
        <v>1210</v>
      </c>
      <c s="30" r="C1183">
        <v>15</v>
      </c>
      <c t="s" s="30" r="D1183">
        <v>136</v>
      </c>
      <c t="s" s="30" r="E1183">
        <v>4</v>
      </c>
      <c t="s" s="30" r="F1183">
        <v>4</v>
      </c>
      <c t="s" s="30" r="G1183">
        <v>240</v>
      </c>
      <c t="str" s="12" r="H1183">
        <f>HYPERLINK("http://sofifa.com/en/fifa13winter/player/146004-jon-ansotegi-gorostola","Ansotegi")</f>
        <v>Ansotegi</v>
      </c>
      <c s="30" r="I1183">
        <v>69</v>
      </c>
      <c t="s" s="30" r="J1183">
        <v>113</v>
      </c>
      <c t="s" s="30" r="K1183">
        <v>165</v>
      </c>
      <c t="s" s="30" r="L1183">
        <v>156</v>
      </c>
      <c s="30" r="M1183">
        <v>30</v>
      </c>
      <c s="26" r="N1183">
        <v>1.6</v>
      </c>
      <c s="23" r="O1183">
        <v>0.007</v>
      </c>
      <c s="7" r="P1183"/>
      <c s="7" r="Q1183"/>
      <c s="7" r="R1183">
        <f>IF((P1183&gt;0),O1183,0)</f>
        <v>0</v>
      </c>
      <c t="str" r="S1183">
        <f>CONCATENATE(F1183,E1183)</f>
        <v>NON FTLNON FTL</v>
      </c>
    </row>
    <row r="1184">
      <c t="s" s="7" r="A1184">
        <v>201</v>
      </c>
      <c s="7" r="B1184">
        <v>1211</v>
      </c>
      <c s="30" r="C1184">
        <v>20</v>
      </c>
      <c t="s" s="30" r="D1184">
        <v>136</v>
      </c>
      <c t="s" s="30" r="E1184">
        <v>4</v>
      </c>
      <c t="s" s="30" r="F1184">
        <v>4</v>
      </c>
      <c t="s" s="30" r="G1184">
        <v>240</v>
      </c>
      <c t="str" s="12" r="H1184">
        <f>HYPERLINK("http://sofifa.com/en/fifa13winter/player/148615-jose-angel-valdes-diaz","José Ángel")</f>
        <v>José Ángel</v>
      </c>
      <c s="30" r="I1184">
        <v>72</v>
      </c>
      <c t="s" s="30" r="J1184">
        <v>117</v>
      </c>
      <c t="s" s="30" r="K1184">
        <v>143</v>
      </c>
      <c t="s" s="30" r="L1184">
        <v>138</v>
      </c>
      <c s="30" r="M1184">
        <v>22</v>
      </c>
      <c s="26" r="N1184">
        <v>2.6</v>
      </c>
      <c s="23" r="O1184">
        <v>0.008</v>
      </c>
      <c s="7" r="P1184"/>
      <c s="7" r="Q1184"/>
      <c s="7" r="R1184">
        <f>IF((P1184&gt;0),O1184,0)</f>
        <v>0</v>
      </c>
      <c t="str" r="S1184">
        <f>CONCATENATE(F1184,E1184)</f>
        <v>NON FTLNON FTL</v>
      </c>
    </row>
    <row r="1185">
      <c t="s" s="7" r="A1185">
        <v>201</v>
      </c>
      <c s="7" r="B1185">
        <v>1212</v>
      </c>
      <c s="30" r="C1185">
        <v>18</v>
      </c>
      <c t="s" s="30" r="D1185">
        <v>136</v>
      </c>
      <c t="s" s="30" r="E1185">
        <v>4</v>
      </c>
      <c t="s" s="30" r="F1185">
        <v>4</v>
      </c>
      <c t="s" s="30" r="G1185">
        <v>240</v>
      </c>
      <c t="str" s="12" r="H1185">
        <f>HYPERLINK("http://sofifa.com/en/fifa13winter/player/146798-gonzalo-castro","G. Castro")</f>
        <v>G. Castro</v>
      </c>
      <c s="30" r="I1185">
        <v>78</v>
      </c>
      <c t="s" s="30" r="J1185">
        <v>170</v>
      </c>
      <c t="s" s="30" r="K1185">
        <v>172</v>
      </c>
      <c t="s" s="30" r="L1185">
        <v>122</v>
      </c>
      <c s="30" r="M1185">
        <v>27</v>
      </c>
      <c s="26" r="N1185">
        <v>6.9</v>
      </c>
      <c s="23" r="O1185">
        <v>0.019</v>
      </c>
      <c s="7" r="P1185"/>
      <c s="7" r="Q1185"/>
      <c s="7" r="R1185">
        <f>IF((P1185&gt;0),O1185,0)</f>
        <v>0</v>
      </c>
      <c t="str" r="S1185">
        <f>CONCATENATE(F1185,E1185)</f>
        <v>NON FTLNON FTL</v>
      </c>
    </row>
    <row r="1186">
      <c t="s" s="7" r="A1186">
        <v>201</v>
      </c>
      <c s="7" r="B1186">
        <v>1213</v>
      </c>
      <c s="30" r="C1186">
        <v>22</v>
      </c>
      <c t="s" s="30" r="D1186">
        <v>136</v>
      </c>
      <c t="s" s="30" r="E1186">
        <v>4</v>
      </c>
      <c t="s" s="30" r="F1186">
        <v>4</v>
      </c>
      <c t="s" s="30" r="G1186">
        <v>240</v>
      </c>
      <c t="str" s="12" r="H1186">
        <f>HYPERLINK("http://sofifa.com/en/fifa13winter/player/147639-daniel-estrada-a","Dani Estrada")</f>
        <v>Dani Estrada</v>
      </c>
      <c s="30" r="I1186">
        <v>71</v>
      </c>
      <c t="s" s="30" r="J1186">
        <v>109</v>
      </c>
      <c t="s" s="30" r="K1186">
        <v>145</v>
      </c>
      <c t="s" s="30" r="L1186">
        <v>160</v>
      </c>
      <c s="30" r="M1186">
        <v>25</v>
      </c>
      <c s="26" r="N1186">
        <v>2.1</v>
      </c>
      <c s="23" r="O1186">
        <v>0.008</v>
      </c>
      <c s="7" r="P1186"/>
      <c s="7" r="Q1186"/>
      <c s="7" r="R1186">
        <f>IF((P1186&gt;0),O1186,0)</f>
        <v>0</v>
      </c>
      <c t="str" r="S1186">
        <f>CONCATENATE(F1186,E1186)</f>
        <v>NON FTLNON FTL</v>
      </c>
    </row>
    <row r="1187">
      <c t="s" s="7" r="A1187">
        <v>201</v>
      </c>
      <c s="7" r="B1187">
        <v>1214</v>
      </c>
      <c s="30" r="C1187">
        <v>17</v>
      </c>
      <c t="s" s="30" r="D1187">
        <v>136</v>
      </c>
      <c t="s" s="30" r="E1187">
        <v>4</v>
      </c>
      <c t="s" s="30" r="F1187">
        <v>4</v>
      </c>
      <c t="s" s="30" r="G1187">
        <v>240</v>
      </c>
      <c t="str" s="12" r="H1187">
        <f>HYPERLINK("http://sofifa.com/en/fifa13winter/player/147471-david-zurutuza","D. Zurutuza")</f>
        <v>D. Zurutuza</v>
      </c>
      <c s="30" r="I1187">
        <v>74</v>
      </c>
      <c t="s" s="30" r="J1187">
        <v>162</v>
      </c>
      <c t="s" s="30" r="K1187">
        <v>173</v>
      </c>
      <c t="s" s="30" r="L1187">
        <v>161</v>
      </c>
      <c s="30" r="M1187">
        <v>26</v>
      </c>
      <c s="26" r="N1187">
        <v>3.8</v>
      </c>
      <c s="23" r="O1187">
        <v>0.011</v>
      </c>
      <c s="7" r="P1187"/>
      <c s="7" r="Q1187"/>
      <c s="7" r="R1187">
        <f>IF((P1187&gt;0),O1187,0)</f>
        <v>0</v>
      </c>
      <c t="str" r="S1187">
        <f>CONCATENATE(F1187,E1187)</f>
        <v>NON FTLNON FTL</v>
      </c>
    </row>
    <row r="1188">
      <c t="s" s="7" r="A1188">
        <v>201</v>
      </c>
      <c s="7" r="B1188">
        <v>1215</v>
      </c>
      <c s="30" r="C1188">
        <v>34</v>
      </c>
      <c t="s" s="30" r="D1188">
        <v>147</v>
      </c>
      <c t="s" s="30" r="E1188">
        <v>4</v>
      </c>
      <c t="s" s="30" r="F1188">
        <v>4</v>
      </c>
      <c t="s" s="30" r="G1188">
        <v>240</v>
      </c>
      <c t="str" s="12" r="H1188">
        <f>HYPERLINK("http://sofifa.com/en/fifa13winter/player/149654-victor-fuchs","V. Fuchs")</f>
        <v>V. Fuchs</v>
      </c>
      <c s="30" r="I1188">
        <v>63</v>
      </c>
      <c t="s" s="30" r="J1188">
        <v>154</v>
      </c>
      <c t="s" s="30" r="K1188">
        <v>182</v>
      </c>
      <c t="s" s="30" r="L1188">
        <v>141</v>
      </c>
      <c s="30" r="M1188">
        <v>20</v>
      </c>
      <c s="26" r="N1188">
        <v>0.8</v>
      </c>
      <c s="23" r="O1188">
        <v>0.003</v>
      </c>
      <c s="7" r="P1188"/>
      <c s="7" r="Q1188"/>
      <c s="7" r="R1188">
        <f>IF((P1188&gt;0),O1188,0)</f>
        <v>0</v>
      </c>
      <c t="str" r="S1188">
        <f>CONCATENATE(F1188,E1188)</f>
        <v>NON FTLNON FTL</v>
      </c>
    </row>
    <row r="1189">
      <c t="s" s="7" r="A1189">
        <v>201</v>
      </c>
      <c s="7" r="B1189">
        <v>1216</v>
      </c>
      <c s="30" r="C1189">
        <v>36</v>
      </c>
      <c t="s" s="30" r="D1189">
        <v>147</v>
      </c>
      <c t="s" s="30" r="E1189">
        <v>4</v>
      </c>
      <c t="s" s="30" r="F1189">
        <v>4</v>
      </c>
      <c t="s" s="30" r="G1189">
        <v>240</v>
      </c>
      <c t="str" s="12" r="H1189">
        <f>HYPERLINK("http://sofifa.com/en/fifa13winter/player/150059-kenan-kodro","Kenan Kodro")</f>
        <v>Kenan Kodro</v>
      </c>
      <c s="30" r="I1189">
        <v>56</v>
      </c>
      <c t="s" s="30" r="J1189">
        <v>129</v>
      </c>
      <c t="s" s="30" r="K1189">
        <v>152</v>
      </c>
      <c t="s" s="30" r="L1189">
        <v>138</v>
      </c>
      <c s="30" r="M1189">
        <v>19</v>
      </c>
      <c s="26" r="N1189">
        <v>0.1</v>
      </c>
      <c s="23" r="O1189">
        <v>0.002</v>
      </c>
      <c s="7" r="P1189"/>
      <c s="7" r="Q1189"/>
      <c s="7" r="R1189">
        <f>IF((P1189&gt;0),O1189,0)</f>
        <v>0</v>
      </c>
      <c t="str" r="S1189">
        <f>CONCATENATE(F1189,E1189)</f>
        <v>NON FTLNON FTL</v>
      </c>
    </row>
    <row r="1190">
      <c t="s" s="7" r="A1190">
        <v>201</v>
      </c>
      <c s="7" r="B1190">
        <v>1217</v>
      </c>
      <c s="30" r="C1190">
        <v>26</v>
      </c>
      <c t="s" s="30" r="D1190">
        <v>147</v>
      </c>
      <c t="s" s="30" r="E1190">
        <v>4</v>
      </c>
      <c t="s" s="30" r="F1190">
        <v>4</v>
      </c>
      <c t="s" s="30" r="G1190">
        <v>240</v>
      </c>
      <c t="str" s="12" r="H1190">
        <f>HYPERLINK("http://sofifa.com/en/fifa13winter/player/149262-enrique-royo-herranz","Enrique Royo")</f>
        <v>Enrique Royo</v>
      </c>
      <c s="30" r="I1190">
        <v>56</v>
      </c>
      <c t="s" s="30" r="J1190">
        <v>106</v>
      </c>
      <c t="s" s="30" r="K1190">
        <v>167</v>
      </c>
      <c t="s" s="30" r="L1190">
        <v>137</v>
      </c>
      <c s="30" r="M1190">
        <v>21</v>
      </c>
      <c s="26" r="N1190">
        <v>0.1</v>
      </c>
      <c s="23" r="O1190">
        <v>0.002</v>
      </c>
      <c s="7" r="P1190"/>
      <c s="7" r="Q1190"/>
      <c s="7" r="R1190">
        <f>IF((P1190&gt;0),O1190,0)</f>
        <v>0</v>
      </c>
      <c t="str" r="S1190">
        <f>CONCATENATE(F1190,E1190)</f>
        <v>NON FTLNON FTL</v>
      </c>
    </row>
    <row r="1191">
      <c t="s" s="7" r="A1191">
        <v>201</v>
      </c>
      <c s="7" r="B1191">
        <v>1218</v>
      </c>
      <c s="30" r="C1191">
        <v>39</v>
      </c>
      <c t="s" s="30" r="D1191">
        <v>147</v>
      </c>
      <c t="s" s="30" r="E1191">
        <v>4</v>
      </c>
      <c t="s" s="30" r="F1191">
        <v>4</v>
      </c>
      <c t="s" s="30" r="G1191">
        <v>240</v>
      </c>
      <c t="str" s="12" r="H1191">
        <f>HYPERLINK("http://sofifa.com/en/fifa13winter/player/149935-aitor-castro-uriarte","Aitor Castro")</f>
        <v>Aitor Castro</v>
      </c>
      <c s="30" r="I1191">
        <v>56</v>
      </c>
      <c t="s" s="30" r="J1191">
        <v>124</v>
      </c>
      <c t="s" s="30" r="K1191">
        <v>195</v>
      </c>
      <c t="s" s="30" r="L1191">
        <v>115</v>
      </c>
      <c s="30" r="M1191">
        <v>19</v>
      </c>
      <c s="26" r="N1191">
        <v>0.1</v>
      </c>
      <c s="23" r="O1191">
        <v>0.002</v>
      </c>
      <c s="7" r="P1191"/>
      <c s="7" r="Q1191"/>
      <c s="7" r="R1191">
        <f>IF((P1191&gt;0),O1191,0)</f>
        <v>0</v>
      </c>
      <c t="str" r="S1191">
        <f>CONCATENATE(F1191,E1191)</f>
        <v>NON FTLNON FTL</v>
      </c>
    </row>
    <row r="1192">
      <c t="s" s="7" r="A1192">
        <v>201</v>
      </c>
      <c s="7" r="B1192">
        <v>1219</v>
      </c>
      <c s="30" r="C1192">
        <v>37</v>
      </c>
      <c t="s" s="30" r="D1192">
        <v>147</v>
      </c>
      <c t="s" s="30" r="E1192">
        <v>4</v>
      </c>
      <c t="s" s="30" r="F1192">
        <v>4</v>
      </c>
      <c t="s" s="30" r="G1192">
        <v>240</v>
      </c>
      <c t="str" s="12" r="H1192">
        <f>HYPERLINK("http://sofifa.com/en/fifa13winter/player/149895-pablo-hervias-rubio","Hervías")</f>
        <v>Hervías</v>
      </c>
      <c s="30" r="I1192">
        <v>63</v>
      </c>
      <c t="s" s="30" r="J1192">
        <v>157</v>
      </c>
      <c t="s" s="30" r="K1192">
        <v>182</v>
      </c>
      <c t="s" s="30" r="L1192">
        <v>115</v>
      </c>
      <c s="30" r="M1192">
        <v>19</v>
      </c>
      <c s="26" r="N1192">
        <v>1</v>
      </c>
      <c s="23" r="O1192">
        <v>0.003</v>
      </c>
      <c s="7" r="P1192"/>
      <c s="7" r="Q1192"/>
      <c s="7" r="R1192">
        <f>IF((P1192&gt;0),O1192,0)</f>
        <v>0</v>
      </c>
      <c t="str" r="S1192">
        <f>CONCATENATE(F1192,E1192)</f>
        <v>NON FTLNON FTL</v>
      </c>
    </row>
    <row r="1193">
      <c t="s" s="7" r="A1193">
        <v>201</v>
      </c>
      <c s="7" r="B1193">
        <v>1220</v>
      </c>
      <c s="30" r="C1193">
        <v>28</v>
      </c>
      <c t="s" s="30" r="D1193">
        <v>147</v>
      </c>
      <c t="s" s="30" r="E1193">
        <v>4</v>
      </c>
      <c t="s" s="30" r="F1193">
        <v>4</v>
      </c>
      <c t="s" s="30" r="G1193">
        <v>240</v>
      </c>
      <c t="str" s="12" r="H1193">
        <f>HYPERLINK("http://sofifa.com/en/fifa13winter/player/150291-iker-hernandez-ezquerro","Iker Hernández")</f>
        <v>Iker Hernández</v>
      </c>
      <c s="30" r="I1193">
        <v>57</v>
      </c>
      <c t="s" s="30" r="J1193">
        <v>129</v>
      </c>
      <c t="s" s="30" r="K1193">
        <v>169</v>
      </c>
      <c t="s" s="30" r="L1193">
        <v>153</v>
      </c>
      <c s="30" r="M1193">
        <v>18</v>
      </c>
      <c s="26" r="N1193">
        <v>0.3</v>
      </c>
      <c s="23" r="O1193">
        <v>0.002</v>
      </c>
      <c s="7" r="P1193"/>
      <c s="7" r="Q1193"/>
      <c s="7" r="R1193">
        <f>IF((P1193&gt;0),O1193,0)</f>
        <v>0</v>
      </c>
      <c t="str" r="S1193">
        <f>CONCATENATE(F1193,E1193)</f>
        <v>NON FTLNON FTL</v>
      </c>
    </row>
    <row r="1194">
      <c t="s" s="7" r="A1194">
        <v>201</v>
      </c>
      <c s="7" r="B1194">
        <v>1221</v>
      </c>
      <c s="30" r="C1194">
        <v>38</v>
      </c>
      <c t="s" s="30" r="D1194">
        <v>147</v>
      </c>
      <c t="s" s="30" r="E1194">
        <v>4</v>
      </c>
      <c t="s" s="30" r="F1194">
        <v>4</v>
      </c>
      <c t="s" s="30" r="G1194">
        <v>240</v>
      </c>
      <c t="str" s="12" r="H1194">
        <f>HYPERLINK("http://sofifa.com/en/fifa13winter/player/149144-sergio-barcina-rodriguez","Txomin Barcina")</f>
        <v>Txomin Barcina</v>
      </c>
      <c s="30" r="I1194">
        <v>61</v>
      </c>
      <c t="s" s="30" r="J1194">
        <v>170</v>
      </c>
      <c t="s" s="30" r="K1194">
        <v>195</v>
      </c>
      <c t="s" s="30" r="L1194">
        <v>163</v>
      </c>
      <c s="30" r="M1194">
        <v>21</v>
      </c>
      <c s="26" r="N1194">
        <v>0.7</v>
      </c>
      <c s="23" r="O1194">
        <v>0.003</v>
      </c>
      <c s="7" r="P1194"/>
      <c s="7" r="Q1194"/>
      <c s="7" r="R1194">
        <f>IF((P1194&gt;0),O1194,0)</f>
        <v>0</v>
      </c>
      <c t="str" r="S1194">
        <f>CONCATENATE(F1194,E1194)</f>
        <v>NON FTLNON FTL</v>
      </c>
    </row>
    <row r="1195">
      <c t="s" s="7" r="A1195">
        <v>201</v>
      </c>
      <c s="7" r="B1195">
        <v>1222</v>
      </c>
      <c s="30" r="C1195">
        <v>30</v>
      </c>
      <c t="s" s="30" r="D1195">
        <v>147</v>
      </c>
      <c t="s" s="30" r="E1195">
        <v>4</v>
      </c>
      <c t="s" s="30" r="F1195">
        <v>4</v>
      </c>
      <c t="s" s="30" r="G1195">
        <v>240</v>
      </c>
      <c t="str" s="12" r="H1195">
        <f>HYPERLINK("http://sofifa.com/en/fifa13winter/player/148862-alberto-morgado-liberal","Morgado")</f>
        <v>Morgado</v>
      </c>
      <c s="30" r="I1195">
        <v>63</v>
      </c>
      <c t="s" s="30" r="J1195">
        <v>117</v>
      </c>
      <c t="s" s="30" r="K1195">
        <v>114</v>
      </c>
      <c t="s" s="30" r="L1195">
        <v>158</v>
      </c>
      <c s="30" r="M1195">
        <v>22</v>
      </c>
      <c s="26" r="N1195">
        <v>0.8</v>
      </c>
      <c s="23" r="O1195">
        <v>0.004</v>
      </c>
      <c s="7" r="P1195"/>
      <c s="7" r="Q1195"/>
      <c s="7" r="R1195">
        <f>IF((P1195&gt;0),O1195,0)</f>
        <v>0</v>
      </c>
      <c t="str" r="S1195">
        <f>CONCATENATE(F1195,E1195)</f>
        <v>NON FTLNON FTL</v>
      </c>
    </row>
    <row r="1196">
      <c t="s" s="7" r="A1196">
        <v>201</v>
      </c>
      <c s="7" r="B1196">
        <v>1223</v>
      </c>
      <c s="30" r="C1196">
        <v>33</v>
      </c>
      <c t="s" s="30" r="D1196">
        <v>147</v>
      </c>
      <c t="s" s="30" r="E1196">
        <v>4</v>
      </c>
      <c t="s" s="30" r="F1196">
        <v>4</v>
      </c>
      <c t="s" s="30" r="G1196">
        <v>240</v>
      </c>
      <c t="str" s="12" r="H1196">
        <f>HYPERLINK("http://sofifa.com/en/fifa13winter/player/149514-jonathan-nanizayamo","J. Nanizayamo")</f>
        <v>J. Nanizayamo</v>
      </c>
      <c s="30" r="I1196">
        <v>58</v>
      </c>
      <c t="s" s="30" r="J1196">
        <v>129</v>
      </c>
      <c t="s" s="30" r="K1196">
        <v>188</v>
      </c>
      <c t="s" s="30" r="L1196">
        <v>178</v>
      </c>
      <c s="30" r="M1196">
        <v>20</v>
      </c>
      <c s="26" r="N1196">
        <v>0.4</v>
      </c>
      <c s="23" r="O1196">
        <v>0.002</v>
      </c>
      <c s="7" r="P1196"/>
      <c s="7" r="Q1196"/>
      <c s="7" r="R1196">
        <f>IF((P1196&gt;0),O1196,0)</f>
        <v>0</v>
      </c>
      <c t="str" r="S1196">
        <f>CONCATENATE(F1196,E1196)</f>
        <v>NON FTLNON FTL</v>
      </c>
    </row>
    <row r="1197">
      <c t="s" s="7" r="A1197">
        <v>201</v>
      </c>
      <c s="7" r="B1197">
        <v>1224</v>
      </c>
      <c s="30" r="C1197">
        <v>44</v>
      </c>
      <c t="s" s="30" r="D1197">
        <v>147</v>
      </c>
      <c t="s" s="30" r="E1197">
        <v>4</v>
      </c>
      <c t="s" s="30" r="F1197">
        <v>4</v>
      </c>
      <c t="s" s="30" r="G1197">
        <v>240</v>
      </c>
      <c t="str" s="12" r="H1197">
        <f>HYPERLINK("http://sofifa.com/en/fifa13winter/player/149587-alexander-callens","A. Callens")</f>
        <v>A. Callens</v>
      </c>
      <c s="30" r="I1197">
        <v>64</v>
      </c>
      <c t="s" s="30" r="J1197">
        <v>113</v>
      </c>
      <c t="s" s="30" r="K1197">
        <v>110</v>
      </c>
      <c t="s" s="30" r="L1197">
        <v>137</v>
      </c>
      <c s="30" r="M1197">
        <v>20</v>
      </c>
      <c s="26" r="N1197">
        <v>1</v>
      </c>
      <c s="23" r="O1197">
        <v>0.004</v>
      </c>
      <c s="7" r="P1197"/>
      <c s="7" r="Q1197"/>
      <c s="7" r="R1197">
        <f>IF((P1197&gt;0),O1197,0)</f>
        <v>0</v>
      </c>
      <c t="str" r="S1197">
        <f>CONCATENATE(F1197,E1197)</f>
        <v>NON FTLNON FTL</v>
      </c>
    </row>
    <row r="1198">
      <c t="s" s="7" r="A1198">
        <v>201</v>
      </c>
      <c s="7" r="B1198">
        <v>1225</v>
      </c>
      <c s="30" r="C1198">
        <v>1</v>
      </c>
      <c t="s" s="30" r="D1198">
        <v>106</v>
      </c>
      <c t="s" s="30" r="E1198">
        <v>4</v>
      </c>
      <c t="s" s="30" r="F1198">
        <v>4</v>
      </c>
      <c t="s" s="30" r="G1198">
        <v>241</v>
      </c>
      <c t="str" s="12" r="H1198">
        <f>HYPERLINK("http://sofifa.com/en/fifa13winter/player/146467-vladimir-gabulov","V. Gabulov")</f>
        <v>V. Gabulov</v>
      </c>
      <c s="30" r="I1198">
        <v>78</v>
      </c>
      <c t="s" s="30" r="J1198">
        <v>106</v>
      </c>
      <c t="s" s="30" r="K1198">
        <v>152</v>
      </c>
      <c t="s" s="30" r="L1198">
        <v>108</v>
      </c>
      <c s="30" r="M1198">
        <v>28</v>
      </c>
      <c s="26" r="N1198">
        <v>5.1</v>
      </c>
      <c s="23" r="O1198">
        <v>0.02</v>
      </c>
      <c s="7" r="P1198"/>
      <c s="7" r="Q1198"/>
      <c s="7" r="R1198">
        <f>IF((P1198&gt;0),O1198,0)</f>
        <v>0</v>
      </c>
      <c t="str" r="S1198">
        <f>CONCATENATE(F1198,E1198)</f>
        <v>NON FTLNON FTL</v>
      </c>
    </row>
    <row r="1199">
      <c t="s" s="7" r="A1199">
        <v>201</v>
      </c>
      <c s="7" r="B1199">
        <v>1226</v>
      </c>
      <c s="30" r="C1199">
        <v>3</v>
      </c>
      <c t="s" s="30" r="D1199">
        <v>109</v>
      </c>
      <c t="s" s="30" r="E1199">
        <v>4</v>
      </c>
      <c t="s" s="30" r="F1199">
        <v>4</v>
      </c>
      <c t="s" s="30" r="G1199">
        <v>241</v>
      </c>
      <c t="str" s="12" r="H1199">
        <f>HYPERLINK("http://sofifa.com/en/fifa13winter/player/148585-ali-gadzhibekov","A. Gadzhibekov")</f>
        <v>A. Gadzhibekov</v>
      </c>
      <c s="30" r="I1199">
        <v>67</v>
      </c>
      <c t="s" s="30" r="J1199">
        <v>113</v>
      </c>
      <c t="s" s="30" r="K1199">
        <v>132</v>
      </c>
      <c t="s" s="30" r="L1199">
        <v>160</v>
      </c>
      <c s="30" r="M1199">
        <v>23</v>
      </c>
      <c s="26" r="N1199">
        <v>1.4</v>
      </c>
      <c s="23" r="O1199">
        <v>0.005</v>
      </c>
      <c s="7" r="P1199"/>
      <c s="7" r="Q1199"/>
      <c s="7" r="R1199">
        <f>IF((P1199&gt;0),O1199,0)</f>
        <v>0</v>
      </c>
      <c t="str" r="S1199">
        <f>CONCATENATE(F1199,E1199)</f>
        <v>NON FTLNON FTL</v>
      </c>
    </row>
    <row r="1200">
      <c t="s" s="7" r="A1200">
        <v>201</v>
      </c>
      <c s="7" r="B1200">
        <v>1227</v>
      </c>
      <c s="30" r="C1200">
        <v>5</v>
      </c>
      <c t="s" s="30" r="D1200">
        <v>112</v>
      </c>
      <c t="s" s="30" r="E1200">
        <v>4</v>
      </c>
      <c t="s" s="30" r="F1200">
        <v>4</v>
      </c>
      <c t="s" s="30" r="G1200">
        <v>241</v>
      </c>
      <c t="str" s="12" r="H1200">
        <f>HYPERLINK("http://sofifa.com/en/fifa13winter/player/145811-joao-carlos-pinto-chaves","João Carlos")</f>
        <v>João Carlos</v>
      </c>
      <c s="30" r="I1200">
        <v>73</v>
      </c>
      <c t="s" s="30" r="J1200">
        <v>113</v>
      </c>
      <c t="s" s="30" r="K1200">
        <v>169</v>
      </c>
      <c t="s" s="30" r="L1200">
        <v>156</v>
      </c>
      <c s="30" r="M1200">
        <v>30</v>
      </c>
      <c s="26" r="N1200">
        <v>2.5</v>
      </c>
      <c s="23" r="O1200">
        <v>0.011</v>
      </c>
      <c s="7" r="P1200"/>
      <c s="7" r="Q1200"/>
      <c s="7" r="R1200">
        <f>IF((P1200&gt;0),O1200,0)</f>
        <v>0</v>
      </c>
      <c t="str" r="S1200">
        <f>CONCATENATE(F1200,E1200)</f>
        <v>NON FTLNON FTL</v>
      </c>
    </row>
    <row r="1201">
      <c t="s" s="7" r="A1201">
        <v>201</v>
      </c>
      <c s="7" r="B1201">
        <v>1228</v>
      </c>
      <c s="30" r="C1201">
        <v>37</v>
      </c>
      <c t="s" s="30" r="D1201">
        <v>116</v>
      </c>
      <c t="s" s="30" r="E1201">
        <v>4</v>
      </c>
      <c t="s" s="30" r="F1201">
        <v>4</v>
      </c>
      <c t="s" s="30" r="G1201">
        <v>241</v>
      </c>
      <c t="str" s="12" r="H1201">
        <f>HYPERLINK("http://sofifa.com/en/fifa13winter/player/148449-ewerton-jose-almeida-santos","Ewerton")</f>
        <v>Ewerton</v>
      </c>
      <c s="30" r="I1201">
        <v>75</v>
      </c>
      <c t="s" s="30" r="J1201">
        <v>113</v>
      </c>
      <c t="s" s="30" r="K1201">
        <v>134</v>
      </c>
      <c t="s" s="30" r="L1201">
        <v>183</v>
      </c>
      <c s="30" r="M1201">
        <v>23</v>
      </c>
      <c s="26" r="N1201">
        <v>4.3</v>
      </c>
      <c s="23" r="O1201">
        <v>0.012</v>
      </c>
      <c s="7" r="P1201"/>
      <c s="7" r="Q1201"/>
      <c s="7" r="R1201">
        <f>IF((P1201&gt;0),O1201,0)</f>
        <v>0</v>
      </c>
      <c t="str" r="S1201">
        <f>CONCATENATE(F1201,E1201)</f>
        <v>NON FTLNON FTL</v>
      </c>
    </row>
    <row r="1202">
      <c t="s" s="7" r="A1202">
        <v>201</v>
      </c>
      <c s="7" r="B1202">
        <v>1229</v>
      </c>
      <c s="30" r="C1202">
        <v>13</v>
      </c>
      <c t="s" s="30" r="D1202">
        <v>117</v>
      </c>
      <c t="s" s="30" r="E1202">
        <v>4</v>
      </c>
      <c t="s" s="30" r="F1202">
        <v>4</v>
      </c>
      <c t="s" s="30" r="G1202">
        <v>241</v>
      </c>
      <c t="str" s="12" r="H1202">
        <f>HYPERLINK("http://sofifa.com/en/fifa13winter/player/146665-rasim-tagirbekov","R. Tagirbekov")</f>
        <v>R. Tagirbekov</v>
      </c>
      <c s="30" r="I1202">
        <v>69</v>
      </c>
      <c t="s" s="30" r="J1202">
        <v>117</v>
      </c>
      <c t="s" s="30" r="K1202">
        <v>132</v>
      </c>
      <c t="s" s="30" r="L1202">
        <v>192</v>
      </c>
      <c s="30" r="M1202">
        <v>28</v>
      </c>
      <c s="26" r="N1202">
        <v>1.5</v>
      </c>
      <c s="23" r="O1202">
        <v>0.007</v>
      </c>
      <c s="7" r="P1202"/>
      <c s="7" r="Q1202"/>
      <c s="7" r="R1202">
        <f>IF((P1202&gt;0),O1202,0)</f>
        <v>0</v>
      </c>
      <c t="str" r="S1202">
        <f>CONCATENATE(F1202,E1202)</f>
        <v>NON FTLNON FTL</v>
      </c>
    </row>
    <row r="1203">
      <c t="s" s="7" r="A1203">
        <v>201</v>
      </c>
      <c s="7" r="B1203">
        <v>1230</v>
      </c>
      <c s="30" r="C1203">
        <v>85</v>
      </c>
      <c t="s" s="30" r="D1203">
        <v>186</v>
      </c>
      <c t="s" s="30" r="E1203">
        <v>4</v>
      </c>
      <c t="s" s="30" r="F1203">
        <v>4</v>
      </c>
      <c t="s" s="30" r="G1203">
        <v>241</v>
      </c>
      <c t="str" s="12" r="H1203">
        <f>HYPERLINK("http://sofifa.com/en/fifa13winter/player/146975-lassana-diarra","L. Diarra")</f>
        <v>L. Diarra</v>
      </c>
      <c s="30" r="I1203">
        <v>80</v>
      </c>
      <c t="s" s="30" r="J1203">
        <v>154</v>
      </c>
      <c t="s" s="30" r="K1203">
        <v>187</v>
      </c>
      <c t="s" s="30" r="L1203">
        <v>119</v>
      </c>
      <c s="30" r="M1203">
        <v>27</v>
      </c>
      <c s="26" r="N1203">
        <v>8.8</v>
      </c>
      <c s="23" r="O1203">
        <v>0.03</v>
      </c>
      <c s="7" r="P1203"/>
      <c s="7" r="Q1203"/>
      <c s="7" r="R1203">
        <f>IF((P1203&gt;0),O1203,0)</f>
        <v>0</v>
      </c>
      <c t="str" r="S1203">
        <f>CONCATENATE(F1203,E1203)</f>
        <v>NON FTLNON FTL</v>
      </c>
    </row>
    <row r="1204">
      <c t="s" s="7" r="A1204">
        <v>201</v>
      </c>
      <c s="7" r="B1204">
        <v>1231</v>
      </c>
      <c s="30" r="C1204">
        <v>8</v>
      </c>
      <c t="s" s="30" r="D1204">
        <v>174</v>
      </c>
      <c t="s" s="30" r="E1204">
        <v>4</v>
      </c>
      <c t="s" s="30" r="F1204">
        <v>4</v>
      </c>
      <c t="s" s="30" r="G1204">
        <v>241</v>
      </c>
      <c t="str" s="12" r="H1204">
        <f>HYPERLINK("http://sofifa.com/en/fifa13winter/player/148098-jucilei-da-silva","Jucilei")</f>
        <v>Jucilei</v>
      </c>
      <c s="30" r="I1204">
        <v>74</v>
      </c>
      <c t="s" s="30" r="J1204">
        <v>154</v>
      </c>
      <c t="s" s="30" r="K1204">
        <v>132</v>
      </c>
      <c t="s" s="30" r="L1204">
        <v>183</v>
      </c>
      <c s="30" r="M1204">
        <v>24</v>
      </c>
      <c s="26" r="N1204">
        <v>3.2</v>
      </c>
      <c s="23" r="O1204">
        <v>0.011</v>
      </c>
      <c s="7" r="P1204"/>
      <c s="7" r="Q1204"/>
      <c s="7" r="R1204">
        <f>IF((P1204&gt;0),O1204,0)</f>
        <v>0</v>
      </c>
      <c t="str" r="S1204">
        <f>CONCATENATE(F1204,E1204)</f>
        <v>NON FTLNON FTL</v>
      </c>
    </row>
    <row r="1205">
      <c t="s" s="7" r="A1205">
        <v>201</v>
      </c>
      <c s="7" r="B1205">
        <v>1232</v>
      </c>
      <c s="30" r="C1205">
        <v>6</v>
      </c>
      <c t="s" s="30" r="D1205">
        <v>120</v>
      </c>
      <c t="s" s="30" r="E1205">
        <v>4</v>
      </c>
      <c t="s" s="30" r="F1205">
        <v>4</v>
      </c>
      <c t="s" s="30" r="G1205">
        <v>241</v>
      </c>
      <c t="str" s="12" r="H1205">
        <f>HYPERLINK("http://sofifa.com/en/fifa13winter/player/146768-mbark-boussoufa","M. Boussoufa")</f>
        <v>M. Boussoufa</v>
      </c>
      <c s="30" r="I1205">
        <v>82</v>
      </c>
      <c t="s" s="30" r="J1205">
        <v>162</v>
      </c>
      <c t="s" s="30" r="K1205">
        <v>231</v>
      </c>
      <c t="s" s="30" r="L1205">
        <v>228</v>
      </c>
      <c s="30" r="M1205">
        <v>28</v>
      </c>
      <c s="26" r="N1205">
        <v>15.8</v>
      </c>
      <c s="23" r="O1205">
        <v>0.055</v>
      </c>
      <c s="7" r="P1205"/>
      <c s="7" r="Q1205"/>
      <c s="7" r="R1205">
        <f>IF((P1205&gt;0),O1205,0)</f>
        <v>0</v>
      </c>
      <c t="str" r="S1205">
        <f>CONCATENATE(F1205,E1205)</f>
        <v>NON FTLNON FTL</v>
      </c>
    </row>
    <row r="1206">
      <c t="s" s="7" r="A1206">
        <v>201</v>
      </c>
      <c s="7" r="B1206">
        <v>1233</v>
      </c>
      <c s="30" r="C1206">
        <v>18</v>
      </c>
      <c t="s" s="30" r="D1206">
        <v>128</v>
      </c>
      <c t="s" s="30" r="E1206">
        <v>4</v>
      </c>
      <c t="s" s="30" r="F1206">
        <v>4</v>
      </c>
      <c t="s" s="30" r="G1206">
        <v>241</v>
      </c>
      <c t="str" s="12" r="H1206">
        <f>HYPERLINK("http://sofifa.com/en/fifa13winter/player/146407-yuriy-zhirkov","Y. Zhirkov")</f>
        <v>Y. Zhirkov</v>
      </c>
      <c s="30" r="I1206">
        <v>80</v>
      </c>
      <c t="s" s="30" r="J1206">
        <v>128</v>
      </c>
      <c t="s" s="30" r="K1206">
        <v>114</v>
      </c>
      <c t="s" s="30" r="L1206">
        <v>137</v>
      </c>
      <c s="30" r="M1206">
        <v>29</v>
      </c>
      <c s="26" r="N1206">
        <v>9.5</v>
      </c>
      <c s="23" r="O1206">
        <v>0.032</v>
      </c>
      <c s="7" r="P1206"/>
      <c s="7" r="Q1206"/>
      <c s="7" r="R1206">
        <f>IF((P1206&gt;0),O1206,0)</f>
        <v>0</v>
      </c>
      <c t="str" r="S1206">
        <f>CONCATENATE(F1206,E1206)</f>
        <v>NON FTLNON FTL</v>
      </c>
    </row>
    <row r="1207">
      <c t="s" s="7" r="A1207">
        <v>201</v>
      </c>
      <c s="7" r="B1207">
        <v>1234</v>
      </c>
      <c s="30" r="C1207">
        <v>10</v>
      </c>
      <c t="s" s="30" r="D1207">
        <v>162</v>
      </c>
      <c t="s" s="30" r="E1207">
        <v>4</v>
      </c>
      <c t="s" s="30" r="F1207">
        <v>4</v>
      </c>
      <c t="s" s="30" r="G1207">
        <v>241</v>
      </c>
      <c t="str" s="12" r="H1207">
        <f>HYPERLINK("http://sofifa.com/en/fifa13winter/player/148223-willian-borges-da-silva","Willian")</f>
        <v>Willian</v>
      </c>
      <c s="30" r="I1207">
        <v>82</v>
      </c>
      <c t="s" s="30" r="J1207">
        <v>170</v>
      </c>
      <c t="s" s="30" r="K1207">
        <v>182</v>
      </c>
      <c t="s" s="30" r="L1207">
        <v>122</v>
      </c>
      <c s="30" r="M1207">
        <v>24</v>
      </c>
      <c s="26" r="N1207">
        <v>16.2</v>
      </c>
      <c s="23" r="O1207">
        <v>0.053</v>
      </c>
      <c s="7" r="P1207"/>
      <c s="7" r="Q1207"/>
      <c s="7" r="R1207">
        <f>IF((P1207&gt;0),O1207,0)</f>
        <v>0</v>
      </c>
      <c t="str" r="S1207">
        <f>CONCATENATE(F1207,E1207)</f>
        <v>NON FTLNON FTL</v>
      </c>
    </row>
    <row r="1208">
      <c t="s" s="7" r="A1208">
        <v>201</v>
      </c>
      <c s="7" r="B1208">
        <v>1235</v>
      </c>
      <c s="30" r="C1208">
        <v>9</v>
      </c>
      <c t="s" s="30" r="D1208">
        <v>129</v>
      </c>
      <c t="s" s="30" r="E1208">
        <v>4</v>
      </c>
      <c t="s" s="30" r="F1208">
        <v>4</v>
      </c>
      <c t="s" s="30" r="G1208">
        <v>241</v>
      </c>
      <c t="str" s="12" r="H1208">
        <f>HYPERLINK("http://sofifa.com/en/fifa13winter/player/145514-samuel-etoo","S. Eto'o")</f>
        <v>S. Eto'o</v>
      </c>
      <c s="30" r="I1208">
        <v>84</v>
      </c>
      <c t="s" s="30" r="J1208">
        <v>171</v>
      </c>
      <c t="s" s="30" r="K1208">
        <v>114</v>
      </c>
      <c t="s" s="30" r="L1208">
        <v>158</v>
      </c>
      <c s="30" r="M1208">
        <v>31</v>
      </c>
      <c s="26" r="N1208">
        <v>20.1</v>
      </c>
      <c s="23" r="O1208">
        <v>0.097</v>
      </c>
      <c s="7" r="P1208"/>
      <c s="7" r="Q1208"/>
      <c s="7" r="R1208">
        <f>IF((P1208&gt;0),O1208,0)</f>
        <v>0</v>
      </c>
      <c t="str" r="S1208">
        <f>CONCATENATE(F1208,E1208)</f>
        <v>NON FTLNON FTL</v>
      </c>
    </row>
    <row r="1209">
      <c t="s" s="7" r="A1209">
        <v>201</v>
      </c>
      <c s="7" r="B1209">
        <v>1236</v>
      </c>
      <c s="30" r="C1209">
        <v>28</v>
      </c>
      <c t="s" s="30" r="D1209">
        <v>136</v>
      </c>
      <c t="s" s="30" r="E1209">
        <v>4</v>
      </c>
      <c t="s" s="30" r="F1209">
        <v>4</v>
      </c>
      <c t="s" s="30" r="G1209">
        <v>241</v>
      </c>
      <c t="str" s="12" r="H1209">
        <f>HYPERLINK("http://sofifa.com/en/fifa13winter/player/150262-serder-serderov","S. Serderov")</f>
        <v>S. Serderov</v>
      </c>
      <c s="30" r="I1209">
        <v>58</v>
      </c>
      <c t="s" s="30" r="J1209">
        <v>129</v>
      </c>
      <c t="s" s="30" r="K1209">
        <v>172</v>
      </c>
      <c t="s" s="30" r="L1209">
        <v>122</v>
      </c>
      <c s="30" r="M1209">
        <v>18</v>
      </c>
      <c s="26" r="N1209">
        <v>0.4</v>
      </c>
      <c s="23" r="O1209">
        <v>0.002</v>
      </c>
      <c s="7" r="P1209"/>
      <c s="7" r="Q1209"/>
      <c s="7" r="R1209">
        <f>IF((P1209&gt;0),O1209,0)</f>
        <v>0</v>
      </c>
      <c t="str" r="S1209">
        <f>CONCATENATE(F1209,E1209)</f>
        <v>NON FTLNON FTL</v>
      </c>
    </row>
    <row r="1210">
      <c t="s" s="7" r="A1210">
        <v>201</v>
      </c>
      <c s="7" r="B1210">
        <v>1237</v>
      </c>
      <c s="30" r="C1210">
        <v>17</v>
      </c>
      <c t="s" s="30" r="D1210">
        <v>136</v>
      </c>
      <c t="s" s="30" r="E1210">
        <v>4</v>
      </c>
      <c t="s" s="30" r="F1210">
        <v>4</v>
      </c>
      <c t="s" s="30" r="G1210">
        <v>241</v>
      </c>
      <c t="str" s="12" r="H1210">
        <f>HYPERLINK("http://sofifa.com/en/fifa13winter/player/148812-sharif-muhammad","S. Muhammad")</f>
        <v>S. Muhammad</v>
      </c>
      <c s="30" r="I1210">
        <v>67</v>
      </c>
      <c t="s" s="30" r="J1210">
        <v>124</v>
      </c>
      <c t="s" s="30" r="K1210">
        <v>167</v>
      </c>
      <c t="s" s="30" r="L1210">
        <v>146</v>
      </c>
      <c s="30" r="M1210">
        <v>22</v>
      </c>
      <c s="26" r="N1210">
        <v>1.4</v>
      </c>
      <c s="23" r="O1210">
        <v>0.005</v>
      </c>
      <c s="7" r="P1210"/>
      <c s="7" r="Q1210"/>
      <c s="7" r="R1210">
        <f>IF((P1210&gt;0),O1210,0)</f>
        <v>0</v>
      </c>
      <c t="str" r="S1210">
        <f>CONCATENATE(F1210,E1210)</f>
        <v>NON FTLNON FTL</v>
      </c>
    </row>
    <row r="1211">
      <c t="s" s="7" r="A1211">
        <v>201</v>
      </c>
      <c s="7" r="B1211">
        <v>1238</v>
      </c>
      <c s="30" r="C1211">
        <v>7</v>
      </c>
      <c t="s" s="30" r="D1211">
        <v>136</v>
      </c>
      <c t="s" s="30" r="E1211">
        <v>4</v>
      </c>
      <c t="s" s="30" r="F1211">
        <v>4</v>
      </c>
      <c t="s" s="30" r="G1211">
        <v>241</v>
      </c>
      <c t="str" s="12" r="H1211">
        <f>HYPERLINK("http://sofifa.com/en/fifa13winter/player/148164-kamil-agalarov","K. Agalarov")</f>
        <v>K. Agalarov</v>
      </c>
      <c s="30" r="I1211">
        <v>67</v>
      </c>
      <c t="s" s="30" r="J1211">
        <v>109</v>
      </c>
      <c t="s" s="30" r="K1211">
        <v>118</v>
      </c>
      <c t="s" s="30" r="L1211">
        <v>142</v>
      </c>
      <c s="30" r="M1211">
        <v>24</v>
      </c>
      <c s="26" r="N1211">
        <v>1.3</v>
      </c>
      <c s="23" r="O1211">
        <v>0.006</v>
      </c>
      <c s="7" r="P1211"/>
      <c s="7" r="Q1211"/>
      <c s="7" r="R1211">
        <f>IF((P1211&gt;0),O1211,0)</f>
        <v>0</v>
      </c>
      <c t="str" r="S1211">
        <f>CONCATENATE(F1211,E1211)</f>
        <v>NON FTLNON FTL</v>
      </c>
    </row>
    <row r="1212">
      <c t="s" s="7" r="A1212">
        <v>201</v>
      </c>
      <c s="7" r="B1212">
        <v>1239</v>
      </c>
      <c s="30" r="C1212">
        <v>19</v>
      </c>
      <c t="s" s="30" r="D1212">
        <v>136</v>
      </c>
      <c t="s" s="30" r="E1212">
        <v>4</v>
      </c>
      <c t="s" s="30" r="F1212">
        <v>4</v>
      </c>
      <c t="s" s="30" r="G1212">
        <v>241</v>
      </c>
      <c t="str" s="12" r="H1212">
        <f>HYPERLINK("http://sofifa.com/en/fifa13winter/player/148964-lacina-traore","L. Traoré")</f>
        <v>L. Traoré</v>
      </c>
      <c s="30" r="I1212">
        <v>78</v>
      </c>
      <c t="s" s="30" r="J1212">
        <v>129</v>
      </c>
      <c t="s" s="30" r="K1212">
        <v>199</v>
      </c>
      <c t="s" s="30" r="L1212">
        <v>192</v>
      </c>
      <c s="30" r="M1212">
        <v>22</v>
      </c>
      <c s="26" r="N1212">
        <v>9.7</v>
      </c>
      <c s="23" r="O1212">
        <v>0.017</v>
      </c>
      <c s="7" r="P1212"/>
      <c s="7" r="Q1212"/>
      <c s="7" r="R1212">
        <f>IF((P1212&gt;0),O1212,0)</f>
        <v>0</v>
      </c>
      <c t="str" r="S1212">
        <f>CONCATENATE(F1212,E1212)</f>
        <v>NON FTLNON FTL</v>
      </c>
    </row>
    <row r="1213">
      <c t="s" s="7" r="A1213">
        <v>201</v>
      </c>
      <c s="7" r="B1213">
        <v>1240</v>
      </c>
      <c s="30" r="C1213">
        <v>14</v>
      </c>
      <c t="s" s="30" r="D1213">
        <v>136</v>
      </c>
      <c t="s" s="30" r="E1213">
        <v>4</v>
      </c>
      <c t="s" s="30" r="F1213">
        <v>4</v>
      </c>
      <c t="s" s="30" r="G1213">
        <v>241</v>
      </c>
      <c t="str" s="12" r="H1213">
        <f>HYPERLINK("http://sofifa.com/en/fifa13winter/player/148942-oleg-shatov","O. Shatov")</f>
        <v>O. Shatov</v>
      </c>
      <c s="30" r="I1213">
        <v>70</v>
      </c>
      <c t="s" s="30" r="J1213">
        <v>124</v>
      </c>
      <c t="s" s="30" r="K1213">
        <v>130</v>
      </c>
      <c t="s" s="30" r="L1213">
        <v>119</v>
      </c>
      <c s="30" r="M1213">
        <v>22</v>
      </c>
      <c s="26" r="N1213">
        <v>1.9</v>
      </c>
      <c s="23" r="O1213">
        <v>0.006</v>
      </c>
      <c s="7" r="P1213"/>
      <c s="7" r="Q1213"/>
      <c s="7" r="R1213">
        <f>IF((P1213&gt;0),O1213,0)</f>
        <v>0</v>
      </c>
      <c t="str" r="S1213">
        <f>CONCATENATE(F1213,E1213)</f>
        <v>NON FTLNON FTL</v>
      </c>
    </row>
    <row r="1214">
      <c t="s" s="7" r="A1214">
        <v>201</v>
      </c>
      <c s="7" r="B1214">
        <v>1241</v>
      </c>
      <c s="30" r="C1214">
        <v>15</v>
      </c>
      <c t="s" s="30" r="D1214">
        <v>136</v>
      </c>
      <c t="s" s="30" r="E1214">
        <v>4</v>
      </c>
      <c t="s" s="30" r="F1214">
        <v>4</v>
      </c>
      <c t="s" s="30" r="G1214">
        <v>241</v>
      </c>
      <c t="str" s="12" r="H1214">
        <f>HYPERLINK("http://sofifa.com/en/fifa13winter/player/149329-arseniy-logashov","A. Logashov")</f>
        <v>A. Logashov</v>
      </c>
      <c s="30" r="I1214">
        <v>66</v>
      </c>
      <c t="s" s="30" r="J1214">
        <v>109</v>
      </c>
      <c t="s" s="30" r="K1214">
        <v>110</v>
      </c>
      <c t="s" s="30" r="L1214">
        <v>142</v>
      </c>
      <c s="30" r="M1214">
        <v>21</v>
      </c>
      <c s="26" r="N1214">
        <v>1.2</v>
      </c>
      <c s="23" r="O1214">
        <v>0.005</v>
      </c>
      <c s="7" r="P1214"/>
      <c s="7" r="Q1214"/>
      <c s="7" r="R1214">
        <f>IF((P1214&gt;0),O1214,0)</f>
        <v>0</v>
      </c>
      <c t="str" r="S1214">
        <f>CONCATENATE(F1214,E1214)</f>
        <v>NON FTLNON FTL</v>
      </c>
    </row>
    <row r="1215">
      <c t="s" s="7" r="A1215">
        <v>201</v>
      </c>
      <c s="7" r="B1215">
        <v>1242</v>
      </c>
      <c s="30" r="C1215">
        <v>22</v>
      </c>
      <c t="s" s="30" r="D1215">
        <v>136</v>
      </c>
      <c t="s" s="30" r="E1215">
        <v>4</v>
      </c>
      <c t="s" s="30" r="F1215">
        <v>4</v>
      </c>
      <c t="s" s="30" r="G1215">
        <v>241</v>
      </c>
      <c t="str" s="12" r="H1215">
        <f>HYPERLINK("http://sofifa.com/en/fifa13winter/player/148398-evgeniy-pomazan","E. Pomazan")</f>
        <v>E. Pomazan</v>
      </c>
      <c s="30" r="I1215">
        <v>69</v>
      </c>
      <c t="s" s="30" r="J1215">
        <v>106</v>
      </c>
      <c t="s" s="30" r="K1215">
        <v>107</v>
      </c>
      <c t="s" s="30" r="L1215">
        <v>192</v>
      </c>
      <c s="30" r="M1215">
        <v>23</v>
      </c>
      <c s="26" r="N1215">
        <v>1.5</v>
      </c>
      <c s="23" r="O1215">
        <v>0.006</v>
      </c>
      <c s="7" r="P1215"/>
      <c s="7" r="Q1215"/>
      <c s="7" r="R1215">
        <f>IF((P1215&gt;0),O1215,0)</f>
        <v>0</v>
      </c>
      <c t="str" r="S1215">
        <f>CONCATENATE(F1215,E1215)</f>
        <v>NON FTLNON FTL</v>
      </c>
    </row>
    <row r="1216">
      <c t="s" s="7" r="A1216">
        <v>201</v>
      </c>
      <c s="7" r="B1216">
        <v>1243</v>
      </c>
      <c s="30" r="C1216">
        <v>33</v>
      </c>
      <c t="s" s="30" r="D1216">
        <v>136</v>
      </c>
      <c t="s" s="30" r="E1216">
        <v>4</v>
      </c>
      <c t="s" s="30" r="F1216">
        <v>4</v>
      </c>
      <c t="s" s="30" r="G1216">
        <v>241</v>
      </c>
      <c t="str" s="12" r="H1216">
        <f>HYPERLINK("http://sofifa.com/en/fifa13winter/player/145310-emir-spahic","E. Spahić")</f>
        <v>E. Spahić</v>
      </c>
      <c s="30" r="I1216">
        <v>77</v>
      </c>
      <c t="s" s="30" r="J1216">
        <v>113</v>
      </c>
      <c t="s" s="30" r="K1216">
        <v>110</v>
      </c>
      <c t="s" s="30" r="L1216">
        <v>138</v>
      </c>
      <c s="30" r="M1216">
        <v>32</v>
      </c>
      <c s="26" r="N1216">
        <v>4.2</v>
      </c>
      <c s="23" r="O1216">
        <v>0.02</v>
      </c>
      <c s="7" r="P1216"/>
      <c s="7" r="Q1216"/>
      <c s="7" r="R1216">
        <f>IF((P1216&gt;0),O1216,0)</f>
        <v>0</v>
      </c>
      <c t="str" r="S1216">
        <f>CONCATENATE(F1216,E1216)</f>
        <v>NON FTLNON FTL</v>
      </c>
    </row>
    <row r="1217">
      <c t="s" s="7" r="A1217">
        <v>201</v>
      </c>
      <c s="7" r="B1217">
        <v>1244</v>
      </c>
      <c s="30" r="C1217">
        <v>2</v>
      </c>
      <c t="s" s="30" r="D1217">
        <v>136</v>
      </c>
      <c t="s" s="30" r="E1217">
        <v>4</v>
      </c>
      <c t="s" s="30" r="F1217">
        <v>4</v>
      </c>
      <c t="s" s="30" r="G1217">
        <v>241</v>
      </c>
      <c t="str" s="12" r="H1217">
        <f>HYPERLINK("http://sofifa.com/en/fifa13winter/player/146580-andrey-eschenko","A. Eschenko")</f>
        <v>A. Eschenko</v>
      </c>
      <c s="30" r="I1217">
        <v>70</v>
      </c>
      <c t="s" s="30" r="J1217">
        <v>117</v>
      </c>
      <c t="s" s="30" r="K1217">
        <v>121</v>
      </c>
      <c t="s" s="30" r="L1217">
        <v>164</v>
      </c>
      <c s="30" r="M1217">
        <v>28</v>
      </c>
      <c s="26" r="N1217">
        <v>1.6</v>
      </c>
      <c s="23" r="O1217">
        <v>0.007</v>
      </c>
      <c s="7" r="P1217"/>
      <c s="7" r="Q1217"/>
      <c s="7" r="R1217">
        <f>IF((P1217&gt;0),O1217,0)</f>
        <v>0</v>
      </c>
      <c t="str" r="S1217">
        <f>CONCATENATE(F1217,E1217)</f>
        <v>NON FTLNON FTL</v>
      </c>
    </row>
    <row r="1218">
      <c t="s" s="7" r="A1218">
        <v>201</v>
      </c>
      <c s="7" r="B1218">
        <v>1245</v>
      </c>
      <c s="30" r="C1218">
        <v>25</v>
      </c>
      <c t="s" s="30" r="D1218">
        <v>136</v>
      </c>
      <c t="s" s="30" r="E1218">
        <v>4</v>
      </c>
      <c t="s" s="30" r="F1218">
        <v>4</v>
      </c>
      <c t="s" s="30" r="G1218">
        <v>241</v>
      </c>
      <c t="str" s="12" r="H1218">
        <f>HYPERLINK("http://sofifa.com/en/fifa13winter/player/147965-odil-ahmedov","O. Ahmedov")</f>
        <v>O. Ahmedov</v>
      </c>
      <c s="30" r="I1218">
        <v>74</v>
      </c>
      <c t="s" s="30" r="J1218">
        <v>154</v>
      </c>
      <c t="s" s="30" r="K1218">
        <v>114</v>
      </c>
      <c t="s" s="30" r="L1218">
        <v>119</v>
      </c>
      <c s="30" r="M1218">
        <v>24</v>
      </c>
      <c s="26" r="N1218">
        <v>3.2</v>
      </c>
      <c s="23" r="O1218">
        <v>0.011</v>
      </c>
      <c s="7" r="P1218"/>
      <c s="7" r="Q1218"/>
      <c s="7" r="R1218">
        <f>IF((P1218&gt;0),O1218,0)</f>
        <v>0</v>
      </c>
      <c t="str" r="S1218">
        <f>CONCATENATE(F1218,E1218)</f>
        <v>NON FTLNON FTL</v>
      </c>
    </row>
    <row r="1219">
      <c t="s" s="7" r="A1219">
        <v>201</v>
      </c>
      <c s="7" r="B1219">
        <v>1246</v>
      </c>
      <c s="30" r="C1219">
        <v>16</v>
      </c>
      <c t="s" s="30" r="D1219">
        <v>136</v>
      </c>
      <c t="s" s="30" r="E1219">
        <v>4</v>
      </c>
      <c t="s" s="30" r="F1219">
        <v>4</v>
      </c>
      <c t="s" s="30" r="G1219">
        <v>241</v>
      </c>
      <c t="str" s="12" r="H1219">
        <f>HYPERLINK("http://sofifa.com/en/fifa13winter/player/148549-mehdi-carcela-gonzalez","M. Carcela-Gonzalez")</f>
        <v>M. Carcela-Gonzalez</v>
      </c>
      <c s="30" r="I1219">
        <v>74</v>
      </c>
      <c t="s" s="30" r="J1219">
        <v>120</v>
      </c>
      <c t="s" s="30" r="K1219">
        <v>172</v>
      </c>
      <c t="s" s="30" r="L1219">
        <v>111</v>
      </c>
      <c s="30" r="M1219">
        <v>23</v>
      </c>
      <c s="26" r="N1219">
        <v>3.7</v>
      </c>
      <c s="23" r="O1219">
        <v>0.01</v>
      </c>
      <c s="7" r="P1219"/>
      <c s="7" r="Q1219"/>
      <c s="7" r="R1219">
        <f>IF((P1219&gt;0),O1219,0)</f>
        <v>0</v>
      </c>
      <c t="str" r="S1219">
        <f>CONCATENATE(F1219,E1219)</f>
        <v>NON FTLNON FTL</v>
      </c>
    </row>
    <row r="1220">
      <c t="s" s="7" r="A1220">
        <v>201</v>
      </c>
      <c s="7" r="B1220">
        <v>1247</v>
      </c>
      <c s="30" r="C1220">
        <v>20</v>
      </c>
      <c t="s" s="30" r="D1220">
        <v>136</v>
      </c>
      <c t="s" s="30" r="E1220">
        <v>4</v>
      </c>
      <c t="s" s="30" r="F1220">
        <v>4</v>
      </c>
      <c t="s" s="30" r="G1220">
        <v>241</v>
      </c>
      <c t="str" s="12" r="H1220">
        <f>HYPERLINK("http://sofifa.com/en/fifa13winter/player/148772-fedor-smolov","F. Smolov")</f>
        <v>F. Smolov</v>
      </c>
      <c s="30" r="I1220">
        <v>68</v>
      </c>
      <c t="s" s="30" r="J1220">
        <v>162</v>
      </c>
      <c t="s" s="30" r="K1220">
        <v>155</v>
      </c>
      <c t="s" s="30" r="L1220">
        <v>153</v>
      </c>
      <c s="30" r="M1220">
        <v>22</v>
      </c>
      <c s="26" r="N1220">
        <v>1.9</v>
      </c>
      <c s="23" r="O1220">
        <v>0.006</v>
      </c>
      <c s="7" r="P1220"/>
      <c s="7" r="Q1220"/>
      <c s="7" r="R1220">
        <f>IF((P1220&gt;0),O1220,0)</f>
        <v>0</v>
      </c>
      <c t="str" r="S1220">
        <f>CONCATENATE(F1220,E1220)</f>
        <v>NON FTLNON FTL</v>
      </c>
    </row>
    <row r="1221">
      <c t="s" s="7" r="A1221">
        <v>201</v>
      </c>
      <c s="7" r="B1221">
        <v>1248</v>
      </c>
      <c s="30" r="C1221">
        <v>32</v>
      </c>
      <c t="s" s="30" r="D1221">
        <v>147</v>
      </c>
      <c t="s" s="30" r="E1221">
        <v>4</v>
      </c>
      <c t="s" s="30" r="F1221">
        <v>4</v>
      </c>
      <c t="s" s="30" r="G1221">
        <v>241</v>
      </c>
      <c t="str" s="12" r="H1221">
        <f>HYPERLINK("http://sofifa.com/en/fifa13winter/player/149795-shamil-mirzaev","S. Mirzaev")</f>
        <v>S. Mirzaev</v>
      </c>
      <c s="30" r="I1221">
        <v>58</v>
      </c>
      <c t="s" s="30" r="J1221">
        <v>129</v>
      </c>
      <c t="s" s="30" r="K1221">
        <v>139</v>
      </c>
      <c t="s" s="30" r="L1221">
        <v>122</v>
      </c>
      <c s="30" r="M1221">
        <v>19</v>
      </c>
      <c s="26" r="N1221">
        <v>0.4</v>
      </c>
      <c s="23" r="O1221">
        <v>0.002</v>
      </c>
      <c s="7" r="P1221"/>
      <c s="7" r="Q1221"/>
      <c s="7" r="R1221">
        <f>IF((P1221&gt;0),O1221,0)</f>
        <v>0</v>
      </c>
      <c t="str" r="S1221">
        <f>CONCATENATE(F1221,E1221)</f>
        <v>NON FTLNON FTL</v>
      </c>
    </row>
    <row r="1222">
      <c t="s" s="7" r="A1222">
        <v>201</v>
      </c>
      <c s="7" r="B1222">
        <v>1249</v>
      </c>
      <c s="30" r="C1222">
        <v>44</v>
      </c>
      <c t="s" s="30" r="D1222">
        <v>147</v>
      </c>
      <c t="s" s="30" r="E1222">
        <v>4</v>
      </c>
      <c t="s" s="30" r="F1222">
        <v>4</v>
      </c>
      <c t="s" s="30" r="G1222">
        <v>241</v>
      </c>
      <c t="str" s="12" r="H1222">
        <f>HYPERLINK("http://sofifa.com/en/fifa13winter/player/149544-murad-kurbanov","M. Kurbanov")</f>
        <v>M. Kurbanov</v>
      </c>
      <c s="30" r="I1222">
        <v>53</v>
      </c>
      <c t="s" s="30" r="J1222">
        <v>109</v>
      </c>
      <c t="s" s="30" r="K1222">
        <v>182</v>
      </c>
      <c t="s" s="30" r="L1222">
        <v>168</v>
      </c>
      <c s="30" r="M1222">
        <v>20</v>
      </c>
      <c s="26" r="N1222">
        <v>0.1</v>
      </c>
      <c s="23" r="O1222">
        <v>0.002</v>
      </c>
      <c s="7" r="P1222"/>
      <c s="7" r="Q1222"/>
      <c s="7" r="R1222">
        <f>IF((P1222&gt;0),O1222,0)</f>
        <v>0</v>
      </c>
      <c t="str" r="S1222">
        <f>CONCATENATE(F1222,E1222)</f>
        <v>NON FTLNON FTL</v>
      </c>
    </row>
    <row r="1223">
      <c t="s" s="7" r="A1223">
        <v>201</v>
      </c>
      <c s="7" r="B1223">
        <v>1250</v>
      </c>
      <c s="30" r="C1223">
        <v>26</v>
      </c>
      <c t="s" s="30" r="D1223">
        <v>147</v>
      </c>
      <c t="s" s="30" r="E1223">
        <v>4</v>
      </c>
      <c t="s" s="30" r="F1223">
        <v>4</v>
      </c>
      <c t="s" s="30" r="G1223">
        <v>241</v>
      </c>
      <c t="str" s="12" r="H1223">
        <f>HYPERLINK("http://sofifa.com/en/fifa13winter/player/149103-azamat-dzhioev","A. Dzhioev")</f>
        <v>A. Dzhioev</v>
      </c>
      <c s="30" r="I1223">
        <v>61</v>
      </c>
      <c t="s" s="30" r="J1223">
        <v>106</v>
      </c>
      <c t="s" s="30" r="K1223">
        <v>107</v>
      </c>
      <c t="s" s="30" r="L1223">
        <v>158</v>
      </c>
      <c s="30" r="M1223">
        <v>21</v>
      </c>
      <c s="26" r="N1223">
        <v>0.5</v>
      </c>
      <c s="23" r="O1223">
        <v>0.003</v>
      </c>
      <c s="7" r="P1223"/>
      <c s="7" r="Q1223"/>
      <c s="7" r="R1223">
        <f>IF((P1223&gt;0),O1223,0)</f>
        <v>0</v>
      </c>
      <c t="str" r="S1223">
        <f>CONCATENATE(F1223,E1223)</f>
        <v>NON FTLNON FTL</v>
      </c>
    </row>
    <row r="1224">
      <c t="s" s="7" r="A1224">
        <v>201</v>
      </c>
      <c s="7" r="B1224">
        <v>1251</v>
      </c>
      <c s="30" r="C1224">
        <v>27</v>
      </c>
      <c t="s" s="30" r="D1224">
        <v>147</v>
      </c>
      <c t="s" s="30" r="E1224">
        <v>4</v>
      </c>
      <c t="s" s="30" r="F1224">
        <v>4</v>
      </c>
      <c t="s" s="30" r="G1224">
        <v>241</v>
      </c>
      <c t="str" s="12" r="H1224">
        <f>HYPERLINK("http://sofifa.com/en/fifa13winter/player/149488-mekhti-dzhenetov","M. Dzhenetov")</f>
        <v>M. Dzhenetov</v>
      </c>
      <c s="30" r="I1224">
        <v>57</v>
      </c>
      <c t="s" s="30" r="J1224">
        <v>106</v>
      </c>
      <c t="s" s="30" r="K1224">
        <v>155</v>
      </c>
      <c t="s" s="30" r="L1224">
        <v>108</v>
      </c>
      <c s="30" r="M1224">
        <v>20</v>
      </c>
      <c s="26" r="N1224">
        <v>0.2</v>
      </c>
      <c s="23" r="O1224">
        <v>0.002</v>
      </c>
      <c s="7" r="P1224"/>
      <c s="7" r="Q1224"/>
      <c s="7" r="R1224">
        <f>IF((P1224&gt;0),O1224,0)</f>
        <v>0</v>
      </c>
      <c t="str" r="S1224">
        <f>CONCATENATE(F1224,E1224)</f>
        <v>NON FTLNON FTL</v>
      </c>
    </row>
    <row r="1225">
      <c t="s" s="7" r="A1225">
        <v>201</v>
      </c>
      <c s="7" r="B1225">
        <v>1252</v>
      </c>
      <c s="30" r="C1225">
        <v>1</v>
      </c>
      <c t="s" s="30" r="D1225">
        <v>106</v>
      </c>
      <c t="s" s="30" r="E1225">
        <v>4</v>
      </c>
      <c t="s" s="30" r="F1225">
        <v>4</v>
      </c>
      <c t="s" s="30" r="G1225">
        <v>242</v>
      </c>
      <c t="str" s="12" r="H1225">
        <f>HYPERLINK("http://sofifa.com/en/fifa13winter/player/144865-jean-francois-gillet","J. Gillet")</f>
        <v>J. Gillet</v>
      </c>
      <c s="30" r="I1225">
        <v>78</v>
      </c>
      <c t="s" s="30" r="J1225">
        <v>106</v>
      </c>
      <c t="s" s="30" r="K1225">
        <v>150</v>
      </c>
      <c t="s" s="30" r="L1225">
        <v>153</v>
      </c>
      <c s="30" r="M1225">
        <v>33</v>
      </c>
      <c s="26" r="N1225">
        <v>3.8</v>
      </c>
      <c s="23" r="O1225">
        <v>0.023</v>
      </c>
      <c s="7" r="P1225"/>
      <c s="7" r="Q1225"/>
      <c s="7" r="R1225">
        <f>IF((P1225&gt;0),O1225,0)</f>
        <v>0</v>
      </c>
      <c t="str" r="S1225">
        <f>CONCATENATE(F1225,E1225)</f>
        <v>NON FTLNON FTL</v>
      </c>
    </row>
    <row r="1226">
      <c t="s" s="7" r="A1226">
        <v>201</v>
      </c>
      <c s="7" r="B1226">
        <v>1253</v>
      </c>
      <c s="30" r="C1226">
        <v>36</v>
      </c>
      <c t="s" s="30" r="D1226">
        <v>109</v>
      </c>
      <c t="s" s="30" r="E1226">
        <v>4</v>
      </c>
      <c t="s" s="30" r="F1226">
        <v>4</v>
      </c>
      <c t="s" s="30" r="G1226">
        <v>242</v>
      </c>
      <c t="str" s="12" r="H1226">
        <f>HYPERLINK("http://sofifa.com/en/fifa13winter/player/148703-matteo-darmian","M. Darmian")</f>
        <v>M. Darmian</v>
      </c>
      <c s="30" r="I1226">
        <v>74</v>
      </c>
      <c t="s" s="30" r="J1226">
        <v>109</v>
      </c>
      <c t="s" s="30" r="K1226">
        <v>143</v>
      </c>
      <c t="s" s="30" r="L1226">
        <v>122</v>
      </c>
      <c s="30" r="M1226">
        <v>22</v>
      </c>
      <c s="26" r="N1226">
        <v>3.4</v>
      </c>
      <c s="23" r="O1226">
        <v>0.01</v>
      </c>
      <c s="7" r="P1226"/>
      <c s="7" r="Q1226"/>
      <c s="7" r="R1226">
        <f>IF((P1226&gt;0),O1226,0)</f>
        <v>0</v>
      </c>
      <c t="str" r="S1226">
        <f>CONCATENATE(F1226,E1226)</f>
        <v>NON FTLNON FTL</v>
      </c>
    </row>
    <row r="1227">
      <c t="s" s="7" r="A1227">
        <v>201</v>
      </c>
      <c s="7" r="B1227">
        <v>1254</v>
      </c>
      <c s="30" r="C1227">
        <v>25</v>
      </c>
      <c t="s" s="30" r="D1227">
        <v>112</v>
      </c>
      <c t="s" s="30" r="E1227">
        <v>4</v>
      </c>
      <c t="s" s="30" r="F1227">
        <v>4</v>
      </c>
      <c t="s" s="30" r="G1227">
        <v>242</v>
      </c>
      <c t="str" s="12" r="H1227">
        <f>HYPERLINK("http://sofifa.com/en/fifa13winter/player/148035-kamil-glik","K. Glik")</f>
        <v>K. Glik</v>
      </c>
      <c s="30" r="I1227">
        <v>76</v>
      </c>
      <c t="s" s="30" r="J1227">
        <v>113</v>
      </c>
      <c t="s" s="30" r="K1227">
        <v>152</v>
      </c>
      <c t="s" s="30" r="L1227">
        <v>153</v>
      </c>
      <c s="30" r="M1227">
        <v>24</v>
      </c>
      <c s="26" r="N1227">
        <v>5</v>
      </c>
      <c s="23" r="O1227">
        <v>0.015</v>
      </c>
      <c s="7" r="P1227"/>
      <c s="7" r="Q1227"/>
      <c s="7" r="R1227">
        <f>IF((P1227&gt;0),O1227,0)</f>
        <v>0</v>
      </c>
      <c t="str" r="S1227">
        <f>CONCATENATE(F1227,E1227)</f>
        <v>NON FTLNON FTL</v>
      </c>
    </row>
    <row r="1228">
      <c t="s" s="7" r="A1228">
        <v>201</v>
      </c>
      <c s="7" r="B1228">
        <v>1255</v>
      </c>
      <c s="30" r="C1228">
        <v>6</v>
      </c>
      <c t="s" s="30" r="D1228">
        <v>116</v>
      </c>
      <c t="s" s="30" r="E1228">
        <v>4</v>
      </c>
      <c t="s" s="30" r="F1228">
        <v>4</v>
      </c>
      <c t="s" s="30" r="G1228">
        <v>242</v>
      </c>
      <c t="str" s="12" r="H1228">
        <f>HYPERLINK("http://sofifa.com/en/fifa13winter/player/148145-angelo-ogbonna","A. Ogbonna")</f>
        <v>A. Ogbonna</v>
      </c>
      <c s="30" r="I1228">
        <v>80</v>
      </c>
      <c t="s" s="30" r="J1228">
        <v>113</v>
      </c>
      <c t="s" s="30" r="K1228">
        <v>169</v>
      </c>
      <c t="s" s="30" r="L1228">
        <v>180</v>
      </c>
      <c s="30" r="M1228">
        <v>24</v>
      </c>
      <c s="26" r="N1228">
        <v>10.5</v>
      </c>
      <c s="23" r="O1228">
        <v>0.03</v>
      </c>
      <c s="7" r="P1228"/>
      <c s="7" r="Q1228"/>
      <c s="7" r="R1228">
        <f>IF((P1228&gt;0),O1228,0)</f>
        <v>0</v>
      </c>
      <c t="str" r="S1228">
        <f>CONCATENATE(F1228,E1228)</f>
        <v>NON FTLNON FTL</v>
      </c>
    </row>
    <row r="1229">
      <c t="s" s="7" r="A1229">
        <v>201</v>
      </c>
      <c s="7" r="B1229">
        <v>1256</v>
      </c>
      <c s="30" r="C1229">
        <v>17</v>
      </c>
      <c t="s" s="30" r="D1229">
        <v>117</v>
      </c>
      <c t="s" s="30" r="E1229">
        <v>4</v>
      </c>
      <c t="s" s="30" r="F1229">
        <v>4</v>
      </c>
      <c t="s" s="30" r="G1229">
        <v>242</v>
      </c>
      <c t="str" s="12" r="H1229">
        <f>HYPERLINK("http://sofifa.com/en/fifa13winter/player/145841-salvatore-masiello","S. Masiello")</f>
        <v>S. Masiello</v>
      </c>
      <c s="30" r="I1229">
        <v>73</v>
      </c>
      <c t="s" s="30" r="J1229">
        <v>117</v>
      </c>
      <c t="s" s="30" r="K1229">
        <v>139</v>
      </c>
      <c t="s" s="30" r="L1229">
        <v>142</v>
      </c>
      <c s="30" r="M1229">
        <v>30</v>
      </c>
      <c s="26" r="N1229">
        <v>2.4</v>
      </c>
      <c s="23" r="O1229">
        <v>0.011</v>
      </c>
      <c s="7" r="P1229"/>
      <c s="7" r="Q1229"/>
      <c s="7" r="R1229">
        <f>IF((P1229&gt;0),O1229,0)</f>
        <v>0</v>
      </c>
      <c t="str" r="S1229">
        <f>CONCATENATE(F1229,E1229)</f>
        <v>NON FTLNON FTL</v>
      </c>
    </row>
    <row r="1230">
      <c t="s" s="7" r="A1230">
        <v>201</v>
      </c>
      <c s="7" r="B1230">
        <v>1257</v>
      </c>
      <c s="30" r="C1230">
        <v>11</v>
      </c>
      <c t="s" s="30" r="D1230">
        <v>120</v>
      </c>
      <c t="s" s="30" r="E1230">
        <v>4</v>
      </c>
      <c t="s" s="30" r="F1230">
        <v>4</v>
      </c>
      <c t="s" s="30" r="G1230">
        <v>242</v>
      </c>
      <c t="str" s="12" r="H1230">
        <f>HYPERLINK("http://sofifa.com/en/fifa13winter/player/147840-alessio-cerci","A. Cerci")</f>
        <v>A. Cerci</v>
      </c>
      <c s="30" r="I1230">
        <v>80</v>
      </c>
      <c t="s" s="30" r="J1230">
        <v>120</v>
      </c>
      <c t="s" s="30" r="K1230">
        <v>114</v>
      </c>
      <c t="s" s="30" r="L1230">
        <v>161</v>
      </c>
      <c s="30" r="M1230">
        <v>25</v>
      </c>
      <c s="26" r="N1230">
        <v>10.1</v>
      </c>
      <c s="23" r="O1230">
        <v>0.03</v>
      </c>
      <c s="7" r="P1230"/>
      <c s="7" r="Q1230"/>
      <c s="7" r="R1230">
        <f>IF((P1230&gt;0),O1230,0)</f>
        <v>0</v>
      </c>
      <c t="str" r="S1230">
        <f>CONCATENATE(F1230,E1230)</f>
        <v>NON FTLNON FTL</v>
      </c>
    </row>
    <row r="1231">
      <c t="s" s="7" r="A1231">
        <v>201</v>
      </c>
      <c s="7" r="B1231">
        <v>1258</v>
      </c>
      <c s="30" r="C1231">
        <v>4</v>
      </c>
      <c t="s" s="30" r="D1231">
        <v>123</v>
      </c>
      <c t="s" s="30" r="E1231">
        <v>4</v>
      </c>
      <c t="s" s="30" r="F1231">
        <v>4</v>
      </c>
      <c t="s" s="30" r="G1231">
        <v>242</v>
      </c>
      <c t="str" s="12" r="H1231">
        <f>HYPERLINK("http://sofifa.com/en/fifa13winter/player/147641-migjen-basha","M. Basha")</f>
        <v>M. Basha</v>
      </c>
      <c s="30" r="I1231">
        <v>73</v>
      </c>
      <c t="s" s="30" r="J1231">
        <v>124</v>
      </c>
      <c t="s" s="30" r="K1231">
        <v>114</v>
      </c>
      <c t="s" s="30" r="L1231">
        <v>146</v>
      </c>
      <c s="30" r="M1231">
        <v>25</v>
      </c>
      <c s="26" r="N1231">
        <v>3</v>
      </c>
      <c s="23" r="O1231">
        <v>0.01</v>
      </c>
      <c s="7" r="P1231"/>
      <c s="7" r="Q1231"/>
      <c s="7" r="R1231">
        <f>IF((P1231&gt;0),O1231,0)</f>
        <v>0</v>
      </c>
      <c t="str" r="S1231">
        <f>CONCATENATE(F1231,E1231)</f>
        <v>NON FTLNON FTL</v>
      </c>
    </row>
    <row r="1232">
      <c t="s" s="7" r="A1232">
        <v>201</v>
      </c>
      <c s="7" r="B1232">
        <v>1259</v>
      </c>
      <c s="30" r="C1232">
        <v>14</v>
      </c>
      <c t="s" s="30" r="D1232">
        <v>126</v>
      </c>
      <c t="s" s="30" r="E1232">
        <v>4</v>
      </c>
      <c t="s" s="30" r="F1232">
        <v>4</v>
      </c>
      <c t="s" s="30" r="G1232">
        <v>242</v>
      </c>
      <c t="str" s="12" r="H1232">
        <f>HYPERLINK("http://sofifa.com/en/fifa13winter/player/146203-alessandro-gazzi","A. Gazzi")</f>
        <v>A. Gazzi</v>
      </c>
      <c s="30" r="I1232">
        <v>74</v>
      </c>
      <c t="s" s="30" r="J1232">
        <v>154</v>
      </c>
      <c t="s" s="30" r="K1232">
        <v>167</v>
      </c>
      <c t="s" s="30" r="L1232">
        <v>183</v>
      </c>
      <c s="30" r="M1232">
        <v>29</v>
      </c>
      <c s="26" r="N1232">
        <v>2.8</v>
      </c>
      <c s="23" r="O1232">
        <v>0.012</v>
      </c>
      <c s="7" r="P1232"/>
      <c s="7" r="Q1232"/>
      <c s="7" r="R1232">
        <f>IF((P1232&gt;0),O1232,0)</f>
        <v>0</v>
      </c>
      <c t="str" r="S1232">
        <f>CONCATENATE(F1232,E1232)</f>
        <v>NON FTLNON FTL</v>
      </c>
    </row>
    <row r="1233">
      <c t="s" s="7" r="A1233">
        <v>201</v>
      </c>
      <c s="7" r="B1233">
        <v>1260</v>
      </c>
      <c s="30" r="C1233">
        <v>7</v>
      </c>
      <c t="s" s="30" r="D1233">
        <v>128</v>
      </c>
      <c t="s" s="30" r="E1233">
        <v>4</v>
      </c>
      <c t="s" s="30" r="F1233">
        <v>4</v>
      </c>
      <c t="s" s="30" r="G1233">
        <v>242</v>
      </c>
      <c t="str" s="12" r="H1233">
        <f>HYPERLINK("http://sofifa.com/en/fifa13winter/player/145802-mario-santana","M. Santana")</f>
        <v>M. Santana</v>
      </c>
      <c s="30" r="I1233">
        <v>77</v>
      </c>
      <c t="s" s="30" r="J1233">
        <v>128</v>
      </c>
      <c t="s" s="30" r="K1233">
        <v>118</v>
      </c>
      <c t="s" s="30" r="L1233">
        <v>151</v>
      </c>
      <c s="30" r="M1233">
        <v>30</v>
      </c>
      <c s="26" r="N1233">
        <v>5</v>
      </c>
      <c s="23" r="O1233">
        <v>0.019</v>
      </c>
      <c s="7" r="P1233"/>
      <c s="7" r="Q1233"/>
      <c s="7" r="R1233">
        <f>IF((P1233&gt;0),O1233,0)</f>
        <v>0</v>
      </c>
      <c t="str" r="S1233">
        <f>CONCATENATE(F1233,E1233)</f>
        <v>NON FTLNON FTL</v>
      </c>
    </row>
    <row r="1234">
      <c t="s" s="7" r="A1234">
        <v>201</v>
      </c>
      <c s="7" r="B1234">
        <v>1261</v>
      </c>
      <c s="30" r="C1234">
        <v>10</v>
      </c>
      <c t="s" s="30" r="D1234">
        <v>131</v>
      </c>
      <c t="s" s="30" r="E1234">
        <v>4</v>
      </c>
      <c t="s" s="30" r="F1234">
        <v>4</v>
      </c>
      <c t="s" s="30" r="G1234">
        <v>242</v>
      </c>
      <c t="str" s="12" r="H1234">
        <f>HYPERLINK("http://sofifa.com/en/fifa13winter/player/147099-paulo-vitor-barreto-de-souza","Barreto")</f>
        <v>Barreto</v>
      </c>
      <c s="30" r="I1234">
        <v>73</v>
      </c>
      <c t="s" s="30" r="J1234">
        <v>129</v>
      </c>
      <c t="s" s="30" r="K1234">
        <v>195</v>
      </c>
      <c t="s" s="30" r="L1234">
        <v>127</v>
      </c>
      <c s="30" r="M1234">
        <v>27</v>
      </c>
      <c s="26" r="N1234">
        <v>3.5</v>
      </c>
      <c s="23" r="O1234">
        <v>0.01</v>
      </c>
      <c s="7" r="P1234"/>
      <c s="7" r="Q1234"/>
      <c s="7" r="R1234">
        <f>IF((P1234&gt;0),O1234,0)</f>
        <v>0</v>
      </c>
      <c t="str" r="S1234">
        <f>CONCATENATE(F1234,E1234)</f>
        <v>NON FTLNON FTL</v>
      </c>
    </row>
    <row r="1235">
      <c t="s" s="7" r="A1235">
        <v>201</v>
      </c>
      <c s="7" r="B1235">
        <v>1262</v>
      </c>
      <c s="30" r="C1235">
        <v>69</v>
      </c>
      <c t="s" s="30" r="D1235">
        <v>133</v>
      </c>
      <c t="s" s="30" r="E1235">
        <v>4</v>
      </c>
      <c t="s" s="30" r="F1235">
        <v>4</v>
      </c>
      <c t="s" s="30" r="G1235">
        <v>242</v>
      </c>
      <c t="str" s="12" r="H1235">
        <f>HYPERLINK("http://sofifa.com/en/fifa13winter/player/147153-riccardo-meggiorini","R. Meggiorini")</f>
        <v>R. Meggiorini</v>
      </c>
      <c s="30" r="I1235">
        <v>73</v>
      </c>
      <c t="s" s="30" r="J1235">
        <v>129</v>
      </c>
      <c t="s" s="30" r="K1235">
        <v>143</v>
      </c>
      <c t="s" s="30" r="L1235">
        <v>137</v>
      </c>
      <c s="30" r="M1235">
        <v>26</v>
      </c>
      <c s="26" r="N1235">
        <v>3.5</v>
      </c>
      <c s="23" r="O1235">
        <v>0.01</v>
      </c>
      <c s="7" r="P1235"/>
      <c s="7" r="Q1235"/>
      <c s="7" r="R1235">
        <f>IF((P1235&gt;0),O1235,0)</f>
        <v>0</v>
      </c>
      <c t="str" r="S1235">
        <f>CONCATENATE(F1235,E1235)</f>
        <v>NON FTLNON FTL</v>
      </c>
    </row>
    <row r="1236">
      <c t="s" s="7" r="A1236">
        <v>201</v>
      </c>
      <c s="7" r="B1236">
        <v>1263</v>
      </c>
      <c s="30" r="C1236">
        <v>29</v>
      </c>
      <c t="s" s="30" r="D1236">
        <v>136</v>
      </c>
      <c t="s" s="30" r="E1236">
        <v>4</v>
      </c>
      <c t="s" s="30" r="F1236">
        <v>4</v>
      </c>
      <c t="s" s="30" r="G1236">
        <v>242</v>
      </c>
      <c t="str" s="12" r="H1236">
        <f>HYPERLINK("http://sofifa.com/en/fifa13winter/player/149950-dolly-menga","D. Menga")</f>
        <v>D. Menga</v>
      </c>
      <c s="30" r="I1236">
        <v>68</v>
      </c>
      <c t="s" s="30" r="J1236">
        <v>157</v>
      </c>
      <c t="s" s="30" r="K1236">
        <v>114</v>
      </c>
      <c t="s" s="30" r="L1236">
        <v>153</v>
      </c>
      <c s="30" r="M1236">
        <v>19</v>
      </c>
      <c s="26" r="N1236">
        <v>2.1</v>
      </c>
      <c s="23" r="O1236">
        <v>0.005</v>
      </c>
      <c s="7" r="P1236"/>
      <c s="7" r="Q1236"/>
      <c s="7" r="R1236">
        <f>IF((P1236&gt;0),O1236,0)</f>
        <v>0</v>
      </c>
      <c t="str" r="S1236">
        <f>CONCATENATE(F1236,E1236)</f>
        <v>NON FTLNON FTL</v>
      </c>
    </row>
    <row r="1237">
      <c t="s" s="7" r="A1237">
        <v>201</v>
      </c>
      <c s="7" r="B1237">
        <v>1264</v>
      </c>
      <c s="30" r="C1237">
        <v>21</v>
      </c>
      <c t="s" s="30" r="D1237">
        <v>136</v>
      </c>
      <c t="s" s="30" r="E1237">
        <v>4</v>
      </c>
      <c t="s" s="30" r="F1237">
        <v>4</v>
      </c>
      <c t="s" s="30" r="G1237">
        <v>242</v>
      </c>
      <c t="str" s="12" r="H1237">
        <f>HYPERLINK("http://sofifa.com/en/fifa13winter/player/150207-nathan-kabasele","N. Kabasele")</f>
        <v>N. Kabasele</v>
      </c>
      <c s="30" r="I1237">
        <v>61</v>
      </c>
      <c t="s" s="30" r="J1237">
        <v>129</v>
      </c>
      <c t="s" s="30" r="K1237">
        <v>118</v>
      </c>
      <c t="s" s="30" r="L1237">
        <v>142</v>
      </c>
      <c s="30" r="M1237">
        <v>18</v>
      </c>
      <c s="26" r="N1237">
        <v>0.8</v>
      </c>
      <c s="23" r="O1237">
        <v>0.003</v>
      </c>
      <c s="7" r="P1237"/>
      <c s="7" r="Q1237"/>
      <c s="7" r="R1237">
        <f>IF((P1237&gt;0),O1237,0)</f>
        <v>0</v>
      </c>
      <c t="str" r="S1237">
        <f>CONCATENATE(F1237,E1237)</f>
        <v>NON FTLNON FTL</v>
      </c>
    </row>
    <row r="1238">
      <c t="s" s="7" r="A1238">
        <v>201</v>
      </c>
      <c s="7" r="B1238">
        <v>1265</v>
      </c>
      <c s="30" r="C1238">
        <v>3</v>
      </c>
      <c t="s" s="30" r="D1238">
        <v>136</v>
      </c>
      <c t="s" s="30" r="E1238">
        <v>4</v>
      </c>
      <c t="s" s="30" r="F1238">
        <v>4</v>
      </c>
      <c t="s" s="30" r="G1238">
        <v>242</v>
      </c>
      <c t="str" s="12" r="H1238">
        <f>HYPERLINK("http://sofifa.com/en/fifa13winter/player/148254-danilo-dambrosio","D. D'Ambrosio")</f>
        <v>D. D'Ambrosio</v>
      </c>
      <c s="30" r="I1238">
        <v>73</v>
      </c>
      <c t="s" s="30" r="J1238">
        <v>117</v>
      </c>
      <c t="s" s="30" r="K1238">
        <v>114</v>
      </c>
      <c t="s" s="30" r="L1238">
        <v>151</v>
      </c>
      <c s="30" r="M1238">
        <v>23</v>
      </c>
      <c s="26" r="N1238">
        <v>2.9</v>
      </c>
      <c s="23" r="O1238">
        <v>0.009</v>
      </c>
      <c s="7" r="P1238"/>
      <c s="7" r="Q1238"/>
      <c s="7" r="R1238">
        <f>IF((P1238&gt;0),O1238,0)</f>
        <v>0</v>
      </c>
      <c t="str" r="S1238">
        <f>CONCATENATE(F1238,E1238)</f>
        <v>NON FTLNON FTL</v>
      </c>
    </row>
    <row r="1239">
      <c t="s" s="7" r="A1239">
        <v>201</v>
      </c>
      <c s="7" r="B1239">
        <v>1266</v>
      </c>
      <c s="30" r="C1239">
        <v>19</v>
      </c>
      <c t="s" s="30" r="D1239">
        <v>136</v>
      </c>
      <c t="s" s="30" r="E1239">
        <v>4</v>
      </c>
      <c t="s" s="30" r="F1239">
        <v>4</v>
      </c>
      <c t="s" s="30" r="G1239">
        <v>242</v>
      </c>
      <c t="str" s="12" r="H1239">
        <f>HYPERLINK("http://sofifa.com/en/fifa13winter/player/149104-alen-stevanovic","A. Stevanovic")</f>
        <v>A. Stevanovic</v>
      </c>
      <c s="30" r="I1239">
        <v>72</v>
      </c>
      <c t="s" s="30" r="J1239">
        <v>120</v>
      </c>
      <c t="s" s="30" r="K1239">
        <v>114</v>
      </c>
      <c t="s" s="30" r="L1239">
        <v>151</v>
      </c>
      <c s="30" r="M1239">
        <v>21</v>
      </c>
      <c s="26" r="N1239">
        <v>3</v>
      </c>
      <c s="23" r="O1239">
        <v>0.008</v>
      </c>
      <c s="7" r="P1239"/>
      <c s="7" r="Q1239"/>
      <c s="7" r="R1239">
        <f>IF((P1239&gt;0),O1239,0)</f>
        <v>0</v>
      </c>
      <c t="str" r="S1239">
        <f>CONCATENATE(F1239,E1239)</f>
        <v>NON FTLNON FTL</v>
      </c>
    </row>
    <row r="1240">
      <c t="s" s="7" r="A1240">
        <v>201</v>
      </c>
      <c s="7" r="B1240">
        <v>1267</v>
      </c>
      <c s="30" r="C1240">
        <v>35</v>
      </c>
      <c t="s" s="30" r="D1240">
        <v>136</v>
      </c>
      <c t="s" s="30" r="E1240">
        <v>4</v>
      </c>
      <c t="s" s="30" r="F1240">
        <v>4</v>
      </c>
      <c t="s" s="30" r="G1240">
        <v>242</v>
      </c>
      <c t="str" s="12" r="H1240">
        <f>HYPERLINK("http://sofifa.com/en/fifa13winter/player/144510-ferdinando-coppola","F. Coppola")</f>
        <v>F. Coppola</v>
      </c>
      <c s="30" r="I1240">
        <v>72</v>
      </c>
      <c t="s" s="30" r="J1240">
        <v>106</v>
      </c>
      <c t="s" s="30" r="K1240">
        <v>134</v>
      </c>
      <c t="s" s="30" r="L1240">
        <v>180</v>
      </c>
      <c s="30" r="M1240">
        <v>34</v>
      </c>
      <c s="26" r="N1240">
        <v>1.4</v>
      </c>
      <c s="23" r="O1240">
        <v>0.011</v>
      </c>
      <c s="7" r="P1240"/>
      <c s="7" r="Q1240"/>
      <c s="7" r="R1240">
        <f>IF((P1240&gt;0),O1240,0)</f>
        <v>0</v>
      </c>
      <c t="str" r="S1240">
        <f>CONCATENATE(F1240,E1240)</f>
        <v>NON FTLNON FTL</v>
      </c>
    </row>
    <row r="1241">
      <c t="s" s="7" r="A1241">
        <v>201</v>
      </c>
      <c s="7" r="B1241">
        <v>1268</v>
      </c>
      <c s="30" r="C1241">
        <v>33</v>
      </c>
      <c t="s" s="30" r="D1241">
        <v>136</v>
      </c>
      <c t="s" s="30" r="E1241">
        <v>4</v>
      </c>
      <c t="s" s="30" r="F1241">
        <v>4</v>
      </c>
      <c t="s" s="30" r="G1241">
        <v>242</v>
      </c>
      <c t="str" s="12" r="H1241">
        <f>HYPERLINK("http://sofifa.com/en/fifa13winter/player/145490-matteo-brighi","M. Brighi")</f>
        <v>M. Brighi</v>
      </c>
      <c s="30" r="I1241">
        <v>74</v>
      </c>
      <c t="s" s="30" r="J1241">
        <v>124</v>
      </c>
      <c t="s" s="30" r="K1241">
        <v>118</v>
      </c>
      <c t="s" s="30" r="L1241">
        <v>138</v>
      </c>
      <c s="30" r="M1241">
        <v>31</v>
      </c>
      <c s="26" r="N1241">
        <v>2.7</v>
      </c>
      <c s="23" r="O1241">
        <v>0.012</v>
      </c>
      <c s="7" r="P1241"/>
      <c s="7" r="Q1241"/>
      <c s="7" r="R1241">
        <f>IF((P1241&gt;0),O1241,0)</f>
        <v>0</v>
      </c>
      <c t="str" r="S1241">
        <f>CONCATENATE(F1241,E1241)</f>
        <v>NON FTLNON FTL</v>
      </c>
    </row>
    <row r="1242">
      <c t="s" s="7" r="A1242">
        <v>201</v>
      </c>
      <c s="7" r="B1242">
        <v>1269</v>
      </c>
      <c s="30" r="C1242">
        <v>9</v>
      </c>
      <c t="s" s="30" r="D1242">
        <v>136</v>
      </c>
      <c t="s" s="30" r="E1242">
        <v>4</v>
      </c>
      <c t="s" s="30" r="F1242">
        <v>4</v>
      </c>
      <c t="s" s="30" r="G1242">
        <v>242</v>
      </c>
      <c t="str" s="12" r="H1242">
        <f>HYPERLINK("http://sofifa.com/en/fifa13winter/player/146221-rolando-bianchi","R. Bianchi")</f>
        <v>R. Bianchi</v>
      </c>
      <c s="30" r="I1242">
        <v>75</v>
      </c>
      <c t="s" s="30" r="J1242">
        <v>129</v>
      </c>
      <c t="s" s="30" r="K1242">
        <v>134</v>
      </c>
      <c t="s" s="30" r="L1242">
        <v>151</v>
      </c>
      <c s="30" r="M1242">
        <v>29</v>
      </c>
      <c s="26" r="N1242">
        <v>4.5</v>
      </c>
      <c s="23" r="O1242">
        <v>0.014</v>
      </c>
      <c s="7" r="P1242"/>
      <c s="7" r="Q1242"/>
      <c s="7" r="R1242">
        <f>IF((P1242&gt;0),O1242,0)</f>
        <v>0</v>
      </c>
      <c t="str" r="S1242">
        <f>CONCATENATE(F1242,E1242)</f>
        <v>NON FTLNON FTL</v>
      </c>
    </row>
    <row r="1243">
      <c t="s" s="7" r="A1243">
        <v>201</v>
      </c>
      <c s="7" r="B1243">
        <v>1270</v>
      </c>
      <c s="30" r="C1243">
        <v>5</v>
      </c>
      <c t="s" s="30" r="D1243">
        <v>136</v>
      </c>
      <c t="s" s="30" r="E1243">
        <v>4</v>
      </c>
      <c t="s" s="30" r="F1243">
        <v>4</v>
      </c>
      <c t="s" s="30" r="G1243">
        <v>242</v>
      </c>
      <c t="str" s="12" r="H1243">
        <f>HYPERLINK("http://sofifa.com/en/fifa13winter/player/146318-valerio-di-cesare","V. Di Cesare")</f>
        <v>V. Di Cesare</v>
      </c>
      <c s="30" r="I1243">
        <v>70</v>
      </c>
      <c t="s" s="30" r="J1243">
        <v>113</v>
      </c>
      <c t="s" s="30" r="K1243">
        <v>155</v>
      </c>
      <c t="s" s="30" r="L1243">
        <v>151</v>
      </c>
      <c s="30" r="M1243">
        <v>29</v>
      </c>
      <c s="26" r="N1243">
        <v>1.6</v>
      </c>
      <c s="23" r="O1243">
        <v>0.007</v>
      </c>
      <c s="7" r="P1243"/>
      <c s="7" r="Q1243"/>
      <c s="7" r="R1243">
        <f>IF((P1243&gt;0),O1243,0)</f>
        <v>0</v>
      </c>
      <c t="str" r="S1243">
        <f>CONCATENATE(F1243,E1243)</f>
        <v>NON FTLNON FTL</v>
      </c>
    </row>
    <row r="1244">
      <c t="s" s="7" r="A1244">
        <v>201</v>
      </c>
      <c s="7" r="B1244">
        <v>1271</v>
      </c>
      <c s="30" r="C1244">
        <v>2</v>
      </c>
      <c t="s" s="30" r="D1244">
        <v>136</v>
      </c>
      <c t="s" s="30" r="E1244">
        <v>4</v>
      </c>
      <c t="s" s="30" r="F1244">
        <v>4</v>
      </c>
      <c t="s" s="30" r="G1244">
        <v>242</v>
      </c>
      <c t="str" s="12" r="H1244">
        <f>HYPERLINK("http://sofifa.com/en/fifa13winter/player/146621-guillermo-rodriguez","G. Rodríguez")</f>
        <v>G. Rodríguez</v>
      </c>
      <c s="30" r="I1244">
        <v>74</v>
      </c>
      <c t="s" s="30" r="J1244">
        <v>113</v>
      </c>
      <c t="s" s="30" r="K1244">
        <v>132</v>
      </c>
      <c t="s" s="30" r="L1244">
        <v>179</v>
      </c>
      <c s="30" r="M1244">
        <v>28</v>
      </c>
      <c s="26" r="N1244">
        <v>3.4</v>
      </c>
      <c s="23" r="O1244">
        <v>0.011</v>
      </c>
      <c s="7" r="P1244"/>
      <c s="7" r="Q1244"/>
      <c s="7" r="R1244">
        <f>IF((P1244&gt;0),O1244,0)</f>
        <v>0</v>
      </c>
      <c t="str" r="S1244">
        <f>CONCATENATE(F1244,E1244)</f>
        <v>NON FTLNON FTL</v>
      </c>
    </row>
    <row r="1245">
      <c t="s" s="7" r="A1245">
        <v>201</v>
      </c>
      <c s="7" r="B1245">
        <v>1272</v>
      </c>
      <c s="30" r="C1245">
        <v>16</v>
      </c>
      <c t="s" s="30" r="D1245">
        <v>136</v>
      </c>
      <c t="s" s="30" r="E1245">
        <v>4</v>
      </c>
      <c t="s" s="30" r="F1245">
        <v>4</v>
      </c>
      <c t="s" s="30" r="G1245">
        <v>242</v>
      </c>
      <c t="str" s="12" r="H1245">
        <f>HYPERLINK("http://sofifa.com/en/fifa13winter/player/147490-valter-birsa","V. Birsa")</f>
        <v>V. Birsa</v>
      </c>
      <c s="30" r="I1245">
        <v>75</v>
      </c>
      <c t="s" s="30" r="J1245">
        <v>128</v>
      </c>
      <c t="s" s="30" r="K1245">
        <v>167</v>
      </c>
      <c t="s" s="30" r="L1245">
        <v>153</v>
      </c>
      <c s="30" r="M1245">
        <v>26</v>
      </c>
      <c s="26" r="N1245">
        <v>4.3</v>
      </c>
      <c s="23" r="O1245">
        <v>0.013</v>
      </c>
      <c s="7" r="P1245"/>
      <c s="7" r="Q1245"/>
      <c s="7" r="R1245">
        <f>IF((P1245&gt;0),O1245,0)</f>
        <v>0</v>
      </c>
      <c t="str" r="S1245">
        <f>CONCATENATE(F1245,E1245)</f>
        <v>NON FTLNON FTL</v>
      </c>
    </row>
    <row r="1246">
      <c t="s" s="7" r="A1246">
        <v>201</v>
      </c>
      <c s="7" r="B1246">
        <v>1273</v>
      </c>
      <c s="30" r="C1246">
        <v>15</v>
      </c>
      <c t="s" s="30" r="D1246">
        <v>136</v>
      </c>
      <c t="s" s="30" r="E1246">
        <v>4</v>
      </c>
      <c t="s" s="30" r="F1246">
        <v>4</v>
      </c>
      <c t="s" s="30" r="G1246">
        <v>242</v>
      </c>
      <c t="str" s="12" r="H1246">
        <f>HYPERLINK("http://sofifa.com/en/fifa13winter/player/147018-pablo-caceres","P. Cáceres")</f>
        <v>P. Cáceres</v>
      </c>
      <c s="30" r="I1246">
        <v>71</v>
      </c>
      <c t="s" s="30" r="J1246">
        <v>117</v>
      </c>
      <c t="s" s="30" r="K1246">
        <v>145</v>
      </c>
      <c t="s" s="30" r="L1246">
        <v>151</v>
      </c>
      <c s="30" r="M1246">
        <v>27</v>
      </c>
      <c s="26" r="N1246">
        <v>2</v>
      </c>
      <c s="23" r="O1246">
        <v>0.008</v>
      </c>
      <c s="7" r="P1246"/>
      <c s="7" r="Q1246"/>
      <c s="7" r="R1246">
        <f>IF((P1246&gt;0),O1246,0)</f>
        <v>0</v>
      </c>
      <c t="str" r="S1246">
        <f>CONCATENATE(F1246,E1246)</f>
        <v>NON FTLNON FTL</v>
      </c>
    </row>
    <row r="1247">
      <c t="s" s="7" r="A1247">
        <v>201</v>
      </c>
      <c s="7" r="B1247">
        <v>1274</v>
      </c>
      <c s="30" r="C1247">
        <v>20</v>
      </c>
      <c t="s" s="30" r="D1247">
        <v>136</v>
      </c>
      <c t="s" s="30" r="E1247">
        <v>4</v>
      </c>
      <c t="s" s="30" r="F1247">
        <v>4</v>
      </c>
      <c t="s" s="30" r="G1247">
        <v>242</v>
      </c>
      <c t="str" s="12" r="H1247">
        <f>HYPERLINK("http://sofifa.com/en/fifa13winter/player/145275-giuseppe-vives","G. Vives")</f>
        <v>G. Vives</v>
      </c>
      <c s="30" r="I1247">
        <v>73</v>
      </c>
      <c t="s" s="30" r="J1247">
        <v>124</v>
      </c>
      <c t="s" s="30" r="K1247">
        <v>118</v>
      </c>
      <c t="s" s="30" r="L1247">
        <v>122</v>
      </c>
      <c s="30" r="M1247">
        <v>32</v>
      </c>
      <c s="26" r="N1247">
        <v>2.2</v>
      </c>
      <c s="23" r="O1247">
        <v>0.012</v>
      </c>
      <c s="7" r="P1247"/>
      <c s="7" r="Q1247"/>
      <c s="7" r="R1247">
        <f>IF((P1247&gt;0),O1247,0)</f>
        <v>0</v>
      </c>
      <c t="str" r="S1247">
        <f>CONCATENATE(F1247,E1247)</f>
        <v>NON FTLNON FTL</v>
      </c>
    </row>
    <row r="1248">
      <c t="s" s="7" r="A1248">
        <v>201</v>
      </c>
      <c s="7" r="B1248">
        <v>1275</v>
      </c>
      <c s="30" r="C1248">
        <v>80</v>
      </c>
      <c t="s" s="30" r="D1248">
        <v>147</v>
      </c>
      <c t="s" s="30" r="E1248">
        <v>4</v>
      </c>
      <c t="s" s="30" r="F1248">
        <v>4</v>
      </c>
      <c t="s" s="30" r="G1248">
        <v>242</v>
      </c>
      <c t="str" s="12" r="H1248">
        <f>HYPERLINK("http://sofifa.com/en/fifa13winter/player/148432-jonathas-de-jesus-mauricio","Jonathas")</f>
        <v>Jonathas</v>
      </c>
      <c s="30" r="I1248">
        <v>72</v>
      </c>
      <c t="s" s="30" r="J1248">
        <v>129</v>
      </c>
      <c t="s" s="30" r="K1248">
        <v>152</v>
      </c>
      <c t="s" s="30" r="L1248">
        <v>179</v>
      </c>
      <c s="30" r="M1248">
        <v>23</v>
      </c>
      <c s="26" r="N1248">
        <v>3.3</v>
      </c>
      <c s="23" r="O1248">
        <v>0.008</v>
      </c>
      <c s="7" r="P1248"/>
      <c s="7" r="Q1248"/>
      <c s="7" r="R1248">
        <f>IF((P1248&gt;0),O1248,0)</f>
        <v>0</v>
      </c>
      <c t="str" r="S1248">
        <f>CONCATENATE(F1248,E1248)</f>
        <v>NON FTLNON FTL</v>
      </c>
    </row>
    <row r="1249">
      <c t="s" s="7" r="A1249">
        <v>201</v>
      </c>
      <c s="7" r="B1249">
        <v>1276</v>
      </c>
      <c s="30" r="C1249">
        <v>26</v>
      </c>
      <c t="s" s="30" r="D1249">
        <v>147</v>
      </c>
      <c t="s" s="30" r="E1249">
        <v>4</v>
      </c>
      <c t="s" s="30" r="F1249">
        <v>4</v>
      </c>
      <c t="s" s="30" r="G1249">
        <v>242</v>
      </c>
      <c t="str" s="12" r="H1249">
        <f>HYPERLINK("http://sofifa.com/en/fifa13winter/player/150076-alfred-gomis","A. Gomis")</f>
        <v>A. Gomis</v>
      </c>
      <c s="30" r="I1249">
        <v>63</v>
      </c>
      <c t="s" s="30" r="J1249">
        <v>106</v>
      </c>
      <c t="s" s="30" r="K1249">
        <v>188</v>
      </c>
      <c t="s" s="30" r="L1249">
        <v>153</v>
      </c>
      <c s="30" r="M1249">
        <v>18</v>
      </c>
      <c s="26" r="N1249">
        <v>0.8</v>
      </c>
      <c s="23" r="O1249">
        <v>0.003</v>
      </c>
      <c s="7" r="P1249"/>
      <c s="7" r="Q1249"/>
      <c s="7" r="R1249">
        <f>IF((P1249&gt;0),O1249,0)</f>
        <v>0</v>
      </c>
      <c t="str" r="S1249">
        <f>CONCATENATE(F1249,E1249)</f>
        <v>NON FTLNON FTL</v>
      </c>
    </row>
    <row r="1250">
      <c t="s" s="7" r="A1250">
        <v>201</v>
      </c>
      <c s="7" r="B1250">
        <v>1277</v>
      </c>
      <c s="30" r="C1250">
        <v>94</v>
      </c>
      <c t="s" s="30" r="D1250">
        <v>147</v>
      </c>
      <c t="s" s="30" r="E1250">
        <v>4</v>
      </c>
      <c t="s" s="30" r="F1250">
        <v>4</v>
      </c>
      <c t="s" s="30" r="G1250">
        <v>242</v>
      </c>
      <c t="str" s="12" r="H1250">
        <f>HYPERLINK("http://sofifa.com/en/fifa13winter/player/150241-willyan-da-silva-barbosa","Willyan")</f>
        <v>Willyan</v>
      </c>
      <c s="30" r="I1250">
        <v>62</v>
      </c>
      <c t="s" s="30" r="J1250">
        <v>124</v>
      </c>
      <c t="s" s="30" r="K1250">
        <v>145</v>
      </c>
      <c t="s" s="30" r="L1250">
        <v>111</v>
      </c>
      <c s="30" r="M1250">
        <v>18</v>
      </c>
      <c s="26" r="N1250">
        <v>0.8</v>
      </c>
      <c s="23" r="O1250">
        <v>0.003</v>
      </c>
      <c s="7" r="P1250"/>
      <c s="7" r="Q1250"/>
      <c s="7" r="R1250">
        <f>IF((P1250&gt;0),O1250,0)</f>
        <v>0</v>
      </c>
      <c t="str" r="S1250">
        <f>CONCATENATE(F1250,E1250)</f>
        <v>NON FTLNON FTL</v>
      </c>
    </row>
    <row r="1251">
      <c t="s" s="7" r="A1251">
        <v>201</v>
      </c>
      <c s="7" r="B1251">
        <v>1278</v>
      </c>
      <c s="30" r="C1251">
        <v>93</v>
      </c>
      <c t="s" s="30" r="D1251">
        <v>147</v>
      </c>
      <c t="s" s="30" r="E1251">
        <v>4</v>
      </c>
      <c t="s" s="30" r="F1251">
        <v>4</v>
      </c>
      <c t="s" s="30" r="G1251">
        <v>242</v>
      </c>
      <c t="str" s="12" r="H1251">
        <f>HYPERLINK("http://sofifa.com/en/fifa13winter/player/150107-abou-diop","A. Diop")</f>
        <v>A. Diop</v>
      </c>
      <c s="30" r="I1251">
        <v>65</v>
      </c>
      <c t="s" s="30" r="J1251">
        <v>129</v>
      </c>
      <c t="s" s="30" r="K1251">
        <v>132</v>
      </c>
      <c t="s" s="30" r="L1251">
        <v>137</v>
      </c>
      <c s="30" r="M1251">
        <v>18</v>
      </c>
      <c s="26" r="N1251">
        <v>1.4</v>
      </c>
      <c s="23" r="O1251">
        <v>0.004</v>
      </c>
      <c s="7" r="P1251"/>
      <c s="7" r="Q1251"/>
      <c s="7" r="R1251">
        <f>IF((P1251&gt;0),O1251,0)</f>
        <v>0</v>
      </c>
      <c t="str" r="S1251">
        <f>CONCATENATE(F1251,E1251)</f>
        <v>NON FTLNON FTL</v>
      </c>
    </row>
    <row r="1252">
      <c t="s" s="7" r="A1252">
        <v>201</v>
      </c>
      <c s="7" r="B1252">
        <v>1279</v>
      </c>
      <c s="30" r="C1252">
        <v>18</v>
      </c>
      <c t="s" s="30" r="D1252">
        <v>147</v>
      </c>
      <c t="s" s="30" r="E1252">
        <v>4</v>
      </c>
      <c t="s" s="30" r="F1252">
        <v>4</v>
      </c>
      <c t="s" s="30" r="G1252">
        <v>242</v>
      </c>
      <c t="str" s="12" r="H1252">
        <f>HYPERLINK("http://sofifa.com/en/fifa13winter/player/150133-marko-bakic","M. Bakić")</f>
        <v>M. Bakić</v>
      </c>
      <c s="30" r="I1252">
        <v>66</v>
      </c>
      <c t="s" s="30" r="J1252">
        <v>124</v>
      </c>
      <c t="s" s="30" r="K1252">
        <v>132</v>
      </c>
      <c t="s" s="30" r="L1252">
        <v>119</v>
      </c>
      <c s="30" r="M1252">
        <v>18</v>
      </c>
      <c s="26" r="N1252">
        <v>1.3</v>
      </c>
      <c s="23" r="O1252">
        <v>0.004</v>
      </c>
      <c s="7" r="P1252"/>
      <c s="7" r="Q1252"/>
      <c s="7" r="R1252">
        <f>IF((P1252&gt;0),O1252,0)</f>
        <v>0</v>
      </c>
      <c t="str" r="S1252">
        <f>CONCATENATE(F1252,E1252)</f>
        <v>NON FTLNON FTL</v>
      </c>
    </row>
    <row r="1253">
      <c t="s" s="7" r="A1253">
        <v>201</v>
      </c>
      <c s="7" r="B1253">
        <v>1280</v>
      </c>
      <c s="30" r="C1253">
        <v>33</v>
      </c>
      <c t="s" s="30" r="D1253">
        <v>106</v>
      </c>
      <c t="s" s="30" r="E1253">
        <v>4</v>
      </c>
      <c t="s" s="30" r="F1253">
        <v>4</v>
      </c>
      <c t="s" s="30" r="G1253">
        <v>243</v>
      </c>
      <c t="str" s="12" r="H1253">
        <f>HYPERLINK("http://sofifa.com/en/fifa13winter/player/144960-julio-cesar-soares-espindola","Júlio César")</f>
        <v>Júlio César</v>
      </c>
      <c s="30" r="I1253">
        <v>83</v>
      </c>
      <c t="s" s="30" r="J1253">
        <v>106</v>
      </c>
      <c t="s" s="30" r="K1253">
        <v>173</v>
      </c>
      <c t="s" s="30" r="L1253">
        <v>158</v>
      </c>
      <c s="30" r="M1253">
        <v>32</v>
      </c>
      <c s="26" r="N1253">
        <v>9.6</v>
      </c>
      <c s="23" r="O1253">
        <v>0.082</v>
      </c>
      <c s="7" r="P1253"/>
      <c s="7" r="Q1253"/>
      <c s="7" r="R1253">
        <f>IF((P1253&gt;0),O1253,0)</f>
        <v>0</v>
      </c>
      <c t="str" r="S1253">
        <f>CONCATENATE(F1253,E1253)</f>
        <v>NON FTLNON FTL</v>
      </c>
    </row>
    <row r="1254">
      <c t="s" s="7" r="A1254">
        <v>201</v>
      </c>
      <c s="7" r="B1254">
        <v>1281</v>
      </c>
      <c s="30" r="C1254">
        <v>27</v>
      </c>
      <c t="s" s="30" r="D1254">
        <v>109</v>
      </c>
      <c t="s" s="30" r="E1254">
        <v>4</v>
      </c>
      <c t="s" s="30" r="F1254">
        <v>4</v>
      </c>
      <c t="s" s="30" r="G1254">
        <v>243</v>
      </c>
      <c t="str" s="12" r="H1254">
        <f>HYPERLINK("http://sofifa.com/en/fifa13winter/player/149759-michael-harriman","M. Harriman")</f>
        <v>M. Harriman</v>
      </c>
      <c s="30" r="I1254">
        <v>55</v>
      </c>
      <c t="s" s="30" r="J1254">
        <v>109</v>
      </c>
      <c t="s" s="30" r="K1254">
        <v>182</v>
      </c>
      <c t="s" s="30" r="L1254">
        <v>111</v>
      </c>
      <c s="30" r="M1254">
        <v>19</v>
      </c>
      <c s="26" r="N1254">
        <v>0.1</v>
      </c>
      <c s="23" r="O1254">
        <v>0.002</v>
      </c>
      <c s="7" r="P1254"/>
      <c s="7" r="Q1254"/>
      <c s="7" r="R1254">
        <f>IF((P1254&gt;0),O1254,0)</f>
        <v>0</v>
      </c>
      <c t="str" r="S1254">
        <f>CONCATENATE(F1254,E1254)</f>
        <v>NON FTLNON FTL</v>
      </c>
    </row>
    <row r="1255">
      <c t="s" s="7" r="A1255">
        <v>201</v>
      </c>
      <c s="7" r="B1255">
        <v>1282</v>
      </c>
      <c s="30" r="C1255">
        <v>15</v>
      </c>
      <c t="s" s="30" r="D1255">
        <v>112</v>
      </c>
      <c t="s" s="30" r="E1255">
        <v>4</v>
      </c>
      <c t="s" s="30" r="F1255">
        <v>4</v>
      </c>
      <c t="s" s="30" r="G1255">
        <v>243</v>
      </c>
      <c t="str" s="12" r="H1255">
        <f>HYPERLINK("http://sofifa.com/en/fifa13winter/player/147587-nedum-onuoha","N. Onuoha")</f>
        <v>N. Onuoha</v>
      </c>
      <c s="30" r="I1255">
        <v>73</v>
      </c>
      <c t="s" s="30" r="J1255">
        <v>109</v>
      </c>
      <c t="s" s="30" r="K1255">
        <v>134</v>
      </c>
      <c t="s" s="30" r="L1255">
        <v>161</v>
      </c>
      <c s="30" r="M1255">
        <v>25</v>
      </c>
      <c s="26" r="N1255">
        <v>2.8</v>
      </c>
      <c s="23" r="O1255">
        <v>0.01</v>
      </c>
      <c s="7" r="P1255"/>
      <c s="7" r="Q1255"/>
      <c s="7" r="R1255">
        <f>IF((P1255&gt;0),O1255,0)</f>
        <v>0</v>
      </c>
      <c t="str" r="S1255">
        <f>CONCATENATE(F1255,E1255)</f>
        <v>NON FTLNON FTL</v>
      </c>
    </row>
    <row r="1256">
      <c t="s" s="7" r="A1256">
        <v>201</v>
      </c>
      <c s="7" r="B1256">
        <v>1283</v>
      </c>
      <c s="30" r="C1256">
        <v>6</v>
      </c>
      <c t="s" s="30" r="D1256">
        <v>116</v>
      </c>
      <c t="s" s="30" r="E1256">
        <v>4</v>
      </c>
      <c t="s" s="30" r="F1256">
        <v>4</v>
      </c>
      <c t="s" s="30" r="G1256">
        <v>243</v>
      </c>
      <c t="str" s="12" r="H1256">
        <f>HYPERLINK("http://sofifa.com/en/fifa13winter/player/144641-clint-hill","C. Hill")</f>
        <v>C. Hill</v>
      </c>
      <c s="30" r="I1256">
        <v>72</v>
      </c>
      <c t="s" s="30" r="J1256">
        <v>113</v>
      </c>
      <c t="s" s="30" r="K1256">
        <v>110</v>
      </c>
      <c t="s" s="30" r="L1256">
        <v>119</v>
      </c>
      <c s="30" r="M1256">
        <v>33</v>
      </c>
      <c s="26" r="N1256">
        <v>1.8</v>
      </c>
      <c s="23" r="O1256">
        <v>0.011</v>
      </c>
      <c s="7" r="P1256"/>
      <c s="7" r="Q1256"/>
      <c s="7" r="R1256">
        <f>IF((P1256&gt;0),O1256,0)</f>
        <v>0</v>
      </c>
      <c t="str" r="S1256">
        <f>CONCATENATE(F1256,E1256)</f>
        <v>NON FTLNON FTL</v>
      </c>
    </row>
    <row r="1257">
      <c t="s" s="7" r="A1257">
        <v>201</v>
      </c>
      <c s="7" r="B1257">
        <v>1284</v>
      </c>
      <c s="30" r="C1257">
        <v>3</v>
      </c>
      <c t="s" s="30" r="D1257">
        <v>117</v>
      </c>
      <c t="s" s="30" r="E1257">
        <v>4</v>
      </c>
      <c t="s" s="30" r="F1257">
        <v>4</v>
      </c>
      <c t="s" s="30" r="G1257">
        <v>243</v>
      </c>
      <c t="str" s="12" r="H1257">
        <f>HYPERLINK("http://sofifa.com/en/fifa13winter/player/148648-armand-traore","A. Traoré")</f>
        <v>A. Traoré</v>
      </c>
      <c s="30" r="I1257">
        <v>70</v>
      </c>
      <c t="s" s="30" r="J1257">
        <v>117</v>
      </c>
      <c t="s" s="30" r="K1257">
        <v>132</v>
      </c>
      <c t="s" s="30" r="L1257">
        <v>193</v>
      </c>
      <c s="30" r="M1257">
        <v>22</v>
      </c>
      <c s="26" r="N1257">
        <v>2</v>
      </c>
      <c s="23" r="O1257">
        <v>0.006</v>
      </c>
      <c s="7" r="P1257"/>
      <c s="7" r="Q1257"/>
      <c s="7" r="R1257">
        <f>IF((P1257&gt;0),O1257,0)</f>
        <v>0</v>
      </c>
      <c t="str" r="S1257">
        <f>CONCATENATE(F1257,E1257)</f>
        <v>NON FTLNON FTL</v>
      </c>
    </row>
    <row r="1258">
      <c t="s" s="7" r="A1258">
        <v>201</v>
      </c>
      <c s="7" r="B1258">
        <v>1285</v>
      </c>
      <c s="30" r="C1258">
        <v>4</v>
      </c>
      <c t="s" s="30" r="D1258">
        <v>154</v>
      </c>
      <c t="s" s="30" r="E1258">
        <v>4</v>
      </c>
      <c t="s" s="30" r="F1258">
        <v>4</v>
      </c>
      <c t="s" s="30" r="G1258">
        <v>243</v>
      </c>
      <c t="str" s="12" r="H1258">
        <f>HYPERLINK("http://sofifa.com/en/fifa13winter/player/144324-shaun-derry","S. Derry")</f>
        <v>S. Derry</v>
      </c>
      <c s="30" r="I1258">
        <v>70</v>
      </c>
      <c t="s" s="30" r="J1258">
        <v>154</v>
      </c>
      <c t="s" s="30" r="K1258">
        <v>110</v>
      </c>
      <c t="s" s="30" r="L1258">
        <v>193</v>
      </c>
      <c s="30" r="M1258">
        <v>34</v>
      </c>
      <c s="26" r="N1258">
        <v>1.1</v>
      </c>
      <c s="23" r="O1258">
        <v>0.009</v>
      </c>
      <c s="7" r="P1258"/>
      <c s="7" r="Q1258"/>
      <c s="7" r="R1258">
        <f>IF((P1258&gt;0),O1258,0)</f>
        <v>0</v>
      </c>
      <c t="str" r="S1258">
        <f>CONCATENATE(F1258,E1258)</f>
        <v>NON FTLNON FTL</v>
      </c>
    </row>
    <row r="1259">
      <c t="s" s="7" r="A1259">
        <v>201</v>
      </c>
      <c s="7" r="B1259">
        <v>1286</v>
      </c>
      <c s="30" r="C1259">
        <v>12</v>
      </c>
      <c t="s" s="30" r="D1259">
        <v>120</v>
      </c>
      <c t="s" s="30" r="E1259">
        <v>4</v>
      </c>
      <c t="s" s="30" r="F1259">
        <v>4</v>
      </c>
      <c t="s" s="30" r="G1259">
        <v>243</v>
      </c>
      <c t="str" s="12" r="H1259">
        <f>HYPERLINK("http://sofifa.com/en/fifa13winter/player/147171-jamie-mackie","J. Mackie")</f>
        <v>J. Mackie</v>
      </c>
      <c s="30" r="I1259">
        <v>69</v>
      </c>
      <c t="s" s="30" r="J1259">
        <v>120</v>
      </c>
      <c t="s" s="30" r="K1259">
        <v>130</v>
      </c>
      <c t="s" s="30" r="L1259">
        <v>122</v>
      </c>
      <c s="30" r="M1259">
        <v>26</v>
      </c>
      <c s="26" r="N1259">
        <v>1.8</v>
      </c>
      <c s="23" r="O1259">
        <v>0.007</v>
      </c>
      <c s="7" r="P1259"/>
      <c s="7" r="Q1259"/>
      <c s="7" r="R1259">
        <f>IF((P1259&gt;0),O1259,0)</f>
        <v>0</v>
      </c>
      <c t="str" r="S1259">
        <f>CONCATENATE(F1259,E1259)</f>
        <v>NON FTLNON FTL</v>
      </c>
    </row>
    <row r="1260">
      <c t="s" s="7" r="A1260">
        <v>201</v>
      </c>
      <c s="7" r="B1260">
        <v>1287</v>
      </c>
      <c s="30" r="C1260">
        <v>16</v>
      </c>
      <c t="s" s="30" r="D1260">
        <v>123</v>
      </c>
      <c t="s" s="30" r="E1260">
        <v>4</v>
      </c>
      <c t="s" s="30" r="F1260">
        <v>4</v>
      </c>
      <c t="s" s="30" r="G1260">
        <v>243</v>
      </c>
      <c t="str" s="12" r="H1260">
        <f>HYPERLINK("http://sofifa.com/en/fifa13winter/player/146224-jermaine-jenas","J. Jenas")</f>
        <v>J. Jenas</v>
      </c>
      <c s="30" r="I1260">
        <v>72</v>
      </c>
      <c t="s" s="30" r="J1260">
        <v>124</v>
      </c>
      <c t="s" s="30" r="K1260">
        <v>145</v>
      </c>
      <c t="s" s="30" r="L1260">
        <v>137</v>
      </c>
      <c s="30" r="M1260">
        <v>29</v>
      </c>
      <c s="26" r="N1260">
        <v>2.3</v>
      </c>
      <c s="23" r="O1260">
        <v>0.009</v>
      </c>
      <c s="7" r="P1260"/>
      <c s="7" r="Q1260"/>
      <c s="7" r="R1260">
        <f>IF((P1260&gt;0),O1260,0)</f>
        <v>0</v>
      </c>
      <c t="str" r="S1260">
        <f>CONCATENATE(F1260,E1260)</f>
        <v>NON FTLNON FTL</v>
      </c>
    </row>
    <row r="1261">
      <c t="s" s="7" r="A1261">
        <v>201</v>
      </c>
      <c s="7" r="B1261">
        <v>1288</v>
      </c>
      <c s="30" r="C1261">
        <v>40</v>
      </c>
      <c t="s" s="30" r="D1261">
        <v>126</v>
      </c>
      <c t="s" s="30" r="E1261">
        <v>4</v>
      </c>
      <c t="s" s="30" r="F1261">
        <v>4</v>
      </c>
      <c t="s" s="30" r="G1261">
        <v>243</v>
      </c>
      <c t="str" s="12" r="H1261">
        <f>HYPERLINK("http://sofifa.com/en/fifa13winter/player/147411-stephane-mbia","S. MBia")</f>
        <v>S. MBia</v>
      </c>
      <c s="30" r="I1261">
        <v>73</v>
      </c>
      <c t="s" s="30" r="J1261">
        <v>124</v>
      </c>
      <c t="s" s="30" r="K1261">
        <v>169</v>
      </c>
      <c t="s" s="30" r="L1261">
        <v>193</v>
      </c>
      <c s="30" r="M1261">
        <v>26</v>
      </c>
      <c s="26" r="N1261">
        <v>2.9</v>
      </c>
      <c s="23" r="O1261">
        <v>0.01</v>
      </c>
      <c s="7" r="P1261"/>
      <c s="7" r="Q1261"/>
      <c s="7" r="R1261">
        <f>IF((P1261&gt;0),O1261,0)</f>
        <v>0</v>
      </c>
      <c t="str" r="S1261">
        <f>CONCATENATE(F1261,E1261)</f>
        <v>NON FTLNON FTL</v>
      </c>
    </row>
    <row r="1262">
      <c t="s" s="7" r="A1262">
        <v>201</v>
      </c>
      <c s="7" r="B1262">
        <v>1289</v>
      </c>
      <c s="30" r="C1262">
        <v>10</v>
      </c>
      <c t="s" s="30" r="D1262">
        <v>128</v>
      </c>
      <c t="s" s="30" r="E1262">
        <v>4</v>
      </c>
      <c t="s" s="30" r="F1262">
        <v>4</v>
      </c>
      <c t="s" s="30" r="G1262">
        <v>243</v>
      </c>
      <c t="str" s="12" r="H1262">
        <f>HYPERLINK("http://sofifa.com/en/fifa13winter/player/148511-adel-taarabt","A. Taarabt")</f>
        <v>A. Taarabt</v>
      </c>
      <c s="30" r="I1262">
        <v>79</v>
      </c>
      <c t="s" s="30" r="J1262">
        <v>162</v>
      </c>
      <c t="s" s="30" r="K1262">
        <v>114</v>
      </c>
      <c t="s" s="30" r="L1262">
        <v>111</v>
      </c>
      <c s="30" r="M1262">
        <v>23</v>
      </c>
      <c s="26" r="N1262">
        <v>8.7</v>
      </c>
      <c s="23" r="O1262">
        <v>0.021</v>
      </c>
      <c s="7" r="P1262"/>
      <c s="7" r="Q1262"/>
      <c s="7" r="R1262">
        <f>IF((P1262&gt;0),O1262,0)</f>
        <v>0</v>
      </c>
      <c t="str" r="S1262">
        <f>CONCATENATE(F1262,E1262)</f>
        <v>NON FTLNON FTL</v>
      </c>
    </row>
    <row r="1263">
      <c t="s" s="7" r="A1263">
        <v>201</v>
      </c>
      <c s="7" r="B1263">
        <v>1290</v>
      </c>
      <c s="30" r="C1263">
        <v>18</v>
      </c>
      <c t="s" s="30" r="D1263">
        <v>129</v>
      </c>
      <c t="s" s="30" r="E1263">
        <v>4</v>
      </c>
      <c t="s" s="30" r="F1263">
        <v>4</v>
      </c>
      <c t="s" s="30" r="G1263">
        <v>243</v>
      </c>
      <c t="str" s="12" r="H1263">
        <f>HYPERLINK("http://sofifa.com/en/fifa13winter/player/147638-loic-remy","L. Rémy")</f>
        <v>L. Rémy</v>
      </c>
      <c s="30" r="I1263">
        <v>79</v>
      </c>
      <c t="s" s="30" r="J1263">
        <v>129</v>
      </c>
      <c t="s" s="30" r="K1263">
        <v>167</v>
      </c>
      <c t="s" s="30" r="L1263">
        <v>137</v>
      </c>
      <c s="30" r="M1263">
        <v>25</v>
      </c>
      <c s="26" r="N1263">
        <v>9.6</v>
      </c>
      <c s="23" r="O1263">
        <v>0.022</v>
      </c>
      <c s="7" r="P1263"/>
      <c s="7" r="Q1263"/>
      <c s="7" r="R1263">
        <f>IF((P1263&gt;0),O1263,0)</f>
        <v>0</v>
      </c>
      <c t="str" r="S1263">
        <f>CONCATENATE(F1263,E1263)</f>
        <v>NON FTLNON FTL</v>
      </c>
    </row>
    <row r="1264">
      <c t="s" s="7" r="A1264">
        <v>201</v>
      </c>
      <c s="7" r="B1264">
        <v>1291</v>
      </c>
      <c s="30" r="C1264">
        <v>14</v>
      </c>
      <c t="s" s="30" r="D1264">
        <v>136</v>
      </c>
      <c t="s" s="30" r="E1264">
        <v>4</v>
      </c>
      <c t="s" s="30" r="F1264">
        <v>4</v>
      </c>
      <c t="s" s="30" r="G1264">
        <v>243</v>
      </c>
      <c t="str" s="12" r="H1264">
        <f>HYPERLINK("http://sofifa.com/en/fifa13winter/player/147819-esteban-granero-molina","Granero")</f>
        <v>Granero</v>
      </c>
      <c s="30" r="I1264">
        <v>78</v>
      </c>
      <c t="s" s="30" r="J1264">
        <v>124</v>
      </c>
      <c t="s" s="30" r="K1264">
        <v>114</v>
      </c>
      <c t="s" s="30" r="L1264">
        <v>151</v>
      </c>
      <c s="30" r="M1264">
        <v>25</v>
      </c>
      <c s="26" r="N1264">
        <v>6.4</v>
      </c>
      <c s="23" r="O1264">
        <v>0.019</v>
      </c>
      <c s="7" r="P1264"/>
      <c s="7" r="Q1264"/>
      <c s="7" r="R1264">
        <f>IF((P1264&gt;0),O1264,0)</f>
        <v>0</v>
      </c>
      <c t="str" r="S1264">
        <f>CONCATENATE(F1264,E1264)</f>
        <v>NON FTLNON FTL</v>
      </c>
    </row>
    <row r="1265">
      <c t="s" s="7" r="A1265">
        <v>201</v>
      </c>
      <c s="7" r="B1265">
        <v>1292</v>
      </c>
      <c s="30" r="C1265">
        <v>23</v>
      </c>
      <c t="s" s="30" r="D1265">
        <v>136</v>
      </c>
      <c t="s" s="30" r="E1265">
        <v>4</v>
      </c>
      <c t="s" s="30" r="F1265">
        <v>4</v>
      </c>
      <c t="s" s="30" r="G1265">
        <v>243</v>
      </c>
      <c t="str" s="12" r="H1265">
        <f>HYPERLINK("http://sofifa.com/en/fifa13winter/player/148888-junior-hoilett","J. Hoilett")</f>
        <v>J. Hoilett</v>
      </c>
      <c s="30" r="I1265">
        <v>77</v>
      </c>
      <c t="s" s="30" r="J1265">
        <v>128</v>
      </c>
      <c t="s" s="30" r="K1265">
        <v>187</v>
      </c>
      <c t="s" s="30" r="L1265">
        <v>142</v>
      </c>
      <c s="30" r="M1265">
        <v>22</v>
      </c>
      <c s="26" r="N1265">
        <v>7</v>
      </c>
      <c s="23" r="O1265">
        <v>0.015</v>
      </c>
      <c s="7" r="P1265"/>
      <c s="7" r="Q1265"/>
      <c s="7" r="R1265">
        <f>IF((P1265&gt;0),O1265,0)</f>
        <v>0</v>
      </c>
      <c t="str" r="S1265">
        <f>CONCATENATE(F1265,E1265)</f>
        <v>NON FTLNON FTL</v>
      </c>
    </row>
    <row r="1266">
      <c t="s" s="7" r="A1266">
        <v>201</v>
      </c>
      <c s="7" r="B1266">
        <v>1293</v>
      </c>
      <c s="30" r="C1266">
        <v>13</v>
      </c>
      <c t="s" s="30" r="D1266">
        <v>136</v>
      </c>
      <c t="s" s="30" r="E1266">
        <v>4</v>
      </c>
      <c t="s" s="30" r="F1266">
        <v>4</v>
      </c>
      <c t="s" s="30" r="G1266">
        <v>243</v>
      </c>
      <c t="str" s="12" r="H1266">
        <f>HYPERLINK("http://sofifa.com/en/fifa13winter/player/148776-suk-young-yun","Yun Suk-Young")</f>
        <v>Yun Suk-Young</v>
      </c>
      <c s="30" r="I1266">
        <v>68</v>
      </c>
      <c t="s" s="30" r="J1266">
        <v>117</v>
      </c>
      <c t="s" s="30" r="K1266">
        <v>143</v>
      </c>
      <c t="s" s="30" r="L1266">
        <v>160</v>
      </c>
      <c s="30" r="M1266">
        <v>22</v>
      </c>
      <c s="26" r="N1266">
        <v>1.5</v>
      </c>
      <c s="23" r="O1266">
        <v>0.006</v>
      </c>
      <c s="7" r="P1266"/>
      <c s="7" r="Q1266"/>
      <c s="7" r="R1266">
        <f>IF((P1266&gt;0),O1266,0)</f>
        <v>0</v>
      </c>
      <c t="str" r="S1266">
        <f>CONCATENATE(F1266,E1266)</f>
        <v>NON FTLNON FTL</v>
      </c>
    </row>
    <row r="1267">
      <c t="s" s="7" r="A1267">
        <v>201</v>
      </c>
      <c s="7" r="B1267">
        <v>1294</v>
      </c>
      <c s="30" r="C1267">
        <v>19</v>
      </c>
      <c t="s" s="30" r="D1267">
        <v>136</v>
      </c>
      <c t="s" s="30" r="E1267">
        <v>4</v>
      </c>
      <c t="s" s="30" r="F1267">
        <v>4</v>
      </c>
      <c t="s" s="30" r="G1267">
        <v>243</v>
      </c>
      <c t="str" s="12" r="H1267">
        <f>HYPERLINK("http://sofifa.com/en/fifa13winter/player/146046-jose-bosingwa-da-silva","José Bosingwa")</f>
        <v>José Bosingwa</v>
      </c>
      <c s="30" r="I1267">
        <v>74</v>
      </c>
      <c t="s" s="30" r="J1267">
        <v>109</v>
      </c>
      <c t="s" s="30" r="K1267">
        <v>110</v>
      </c>
      <c t="s" s="30" r="L1267">
        <v>151</v>
      </c>
      <c s="30" r="M1267">
        <v>30</v>
      </c>
      <c s="26" r="N1267">
        <v>2.7</v>
      </c>
      <c s="23" r="O1267">
        <v>0.012</v>
      </c>
      <c s="7" r="P1267"/>
      <c s="7" r="Q1267"/>
      <c s="7" r="R1267">
        <f>IF((P1267&gt;0),O1267,0)</f>
        <v>0</v>
      </c>
      <c t="str" r="S1267">
        <f>CONCATENATE(F1267,E1267)</f>
        <v>NON FTLNON FTL</v>
      </c>
    </row>
    <row r="1268">
      <c t="s" s="7" r="A1268">
        <v>201</v>
      </c>
      <c s="7" r="B1268">
        <v>1295</v>
      </c>
      <c s="30" r="C1268">
        <v>2</v>
      </c>
      <c t="s" s="30" r="D1268">
        <v>136</v>
      </c>
      <c t="s" s="30" r="E1268">
        <v>4</v>
      </c>
      <c t="s" s="30" r="F1268">
        <v>4</v>
      </c>
      <c t="s" s="30" r="G1268">
        <v>243</v>
      </c>
      <c t="str" s="12" r="H1268">
        <f>HYPERLINK("http://sofifa.com/en/fifa13winter/player/148391-samba-diakite","S. Diakité")</f>
        <v>S. Diakité</v>
      </c>
      <c s="30" r="I1268">
        <v>73</v>
      </c>
      <c t="s" s="30" r="J1268">
        <v>124</v>
      </c>
      <c t="s" s="30" r="K1268">
        <v>173</v>
      </c>
      <c t="s" s="30" r="L1268">
        <v>137</v>
      </c>
      <c s="30" r="M1268">
        <v>23</v>
      </c>
      <c s="26" r="N1268">
        <v>3.1</v>
      </c>
      <c s="23" r="O1268">
        <v>0.009</v>
      </c>
      <c s="7" r="P1268"/>
      <c s="7" r="Q1268"/>
      <c s="7" r="R1268">
        <f>IF((P1268&gt;0),O1268,0)</f>
        <v>0</v>
      </c>
      <c t="str" r="S1268">
        <f>CONCATENATE(F1268,E1268)</f>
        <v>NON FTLNON FTL</v>
      </c>
    </row>
    <row r="1269">
      <c t="s" s="7" r="A1269">
        <v>201</v>
      </c>
      <c s="7" r="B1269">
        <v>1296</v>
      </c>
      <c s="30" r="C1269">
        <v>26</v>
      </c>
      <c t="s" s="30" r="D1269">
        <v>136</v>
      </c>
      <c t="s" s="30" r="E1269">
        <v>4</v>
      </c>
      <c t="s" s="30" r="F1269">
        <v>4</v>
      </c>
      <c t="s" s="30" r="G1269">
        <v>243</v>
      </c>
      <c t="str" s="12" r="H1269">
        <f>HYPERLINK("http://sofifa.com/en/fifa13winter/player/146302-brian-murphy","B. Murphy")</f>
        <v>B. Murphy</v>
      </c>
      <c s="30" r="I1269">
        <v>67</v>
      </c>
      <c t="s" s="30" r="J1269">
        <v>106</v>
      </c>
      <c t="s" s="30" r="K1269">
        <v>110</v>
      </c>
      <c t="s" s="30" r="L1269">
        <v>108</v>
      </c>
      <c s="30" r="M1269">
        <v>29</v>
      </c>
      <c s="26" r="N1269">
        <v>1</v>
      </c>
      <c s="23" r="O1269">
        <v>0.006</v>
      </c>
      <c s="7" r="P1269"/>
      <c s="7" r="Q1269"/>
      <c s="7" r="R1269">
        <f>IF((P1269&gt;0),O1269,0)</f>
        <v>0</v>
      </c>
      <c t="str" r="S1269">
        <f>CONCATENATE(F1269,E1269)</f>
        <v>NON FTLNON FTL</v>
      </c>
    </row>
    <row r="1270">
      <c t="s" s="7" r="A1270">
        <v>201</v>
      </c>
      <c s="7" r="B1270">
        <v>1297</v>
      </c>
      <c s="30" r="C1270">
        <v>11</v>
      </c>
      <c t="s" s="30" r="D1270">
        <v>136</v>
      </c>
      <c t="s" s="30" r="E1270">
        <v>4</v>
      </c>
      <c t="s" s="30" r="F1270">
        <v>4</v>
      </c>
      <c t="s" s="30" r="G1270">
        <v>243</v>
      </c>
      <c t="str" s="12" r="H1270">
        <f>HYPERLINK("http://sofifa.com/en/fifa13winter/player/145743-shaun-wright-phillips","S. Wright-Phillips")</f>
        <v>S. Wright-Phillips</v>
      </c>
      <c s="30" r="I1270">
        <v>72</v>
      </c>
      <c t="s" s="30" r="J1270">
        <v>120</v>
      </c>
      <c t="s" s="30" r="K1270">
        <v>219</v>
      </c>
      <c t="s" s="30" r="L1270">
        <v>141</v>
      </c>
      <c s="30" r="M1270">
        <v>30</v>
      </c>
      <c s="26" r="N1270">
        <v>2.5</v>
      </c>
      <c s="23" r="O1270">
        <v>0.01</v>
      </c>
      <c s="7" r="P1270"/>
      <c s="7" r="Q1270"/>
      <c s="7" r="R1270">
        <f>IF((P1270&gt;0),O1270,0)</f>
        <v>0</v>
      </c>
      <c t="str" r="S1270">
        <f>CONCATENATE(F1270,E1270)</f>
        <v>NON FTLNON FTL</v>
      </c>
    </row>
    <row r="1271">
      <c t="s" s="7" r="A1271">
        <v>201</v>
      </c>
      <c s="7" r="B1271">
        <v>1298</v>
      </c>
      <c s="30" r="C1271">
        <v>7</v>
      </c>
      <c t="s" s="30" r="D1271">
        <v>136</v>
      </c>
      <c t="s" s="30" r="E1271">
        <v>4</v>
      </c>
      <c t="s" s="30" r="F1271">
        <v>4</v>
      </c>
      <c t="s" s="30" r="G1271">
        <v>243</v>
      </c>
      <c t="str" s="12" r="H1271">
        <f>HYPERLINK("http://sofifa.com/en/fifa13winter/player/145501-ji-sung-park","J. Park")</f>
        <v>J. Park</v>
      </c>
      <c s="30" r="I1271">
        <v>72</v>
      </c>
      <c t="s" s="30" r="J1271">
        <v>124</v>
      </c>
      <c t="s" s="30" r="K1271">
        <v>118</v>
      </c>
      <c t="s" s="30" r="L1271">
        <v>119</v>
      </c>
      <c s="30" r="M1271">
        <v>31</v>
      </c>
      <c s="26" r="N1271">
        <v>2.2</v>
      </c>
      <c s="23" r="O1271">
        <v>0.01</v>
      </c>
      <c s="7" r="P1271"/>
      <c s="7" r="Q1271"/>
      <c s="7" r="R1271">
        <f>IF((P1271&gt;0),O1271,0)</f>
        <v>0</v>
      </c>
      <c t="str" r="S1271">
        <f>CONCATENATE(F1271,E1271)</f>
        <v>NON FTLNON FTL</v>
      </c>
    </row>
    <row r="1272">
      <c t="s" s="7" r="A1272">
        <v>201</v>
      </c>
      <c s="7" r="B1272">
        <v>1299</v>
      </c>
      <c s="30" r="C1272">
        <v>5</v>
      </c>
      <c t="s" s="30" r="D1272">
        <v>136</v>
      </c>
      <c t="s" s="30" r="E1272">
        <v>4</v>
      </c>
      <c t="s" s="30" r="F1272">
        <v>4</v>
      </c>
      <c t="s" s="30" r="G1272">
        <v>243</v>
      </c>
      <c t="str" s="12" r="H1272">
        <f>HYPERLINK("http://sofifa.com/en/fifa13winter/player/146628-christopher-samba","C. Samba")</f>
        <v>C. Samba</v>
      </c>
      <c s="30" r="I1272">
        <v>78</v>
      </c>
      <c t="s" s="30" r="J1272">
        <v>113</v>
      </c>
      <c t="s" s="30" r="K1272">
        <v>107</v>
      </c>
      <c t="s" s="30" r="L1272">
        <v>233</v>
      </c>
      <c s="30" r="M1272">
        <v>28</v>
      </c>
      <c s="26" r="N1272">
        <v>6.6</v>
      </c>
      <c s="23" r="O1272">
        <v>0.02</v>
      </c>
      <c s="7" r="P1272"/>
      <c s="7" r="Q1272"/>
      <c s="7" r="R1272">
        <f>IF((P1272&gt;0),O1272,0)</f>
        <v>0</v>
      </c>
      <c t="str" r="S1272">
        <f>CONCATENATE(F1272,E1272)</f>
        <v>NON FTLNON FTL</v>
      </c>
    </row>
    <row r="1273">
      <c t="s" s="7" r="A1273">
        <v>201</v>
      </c>
      <c s="7" r="B1273">
        <v>1300</v>
      </c>
      <c s="30" r="C1273">
        <v>25</v>
      </c>
      <c t="s" s="30" r="D1273">
        <v>136</v>
      </c>
      <c t="s" s="30" r="E1273">
        <v>4</v>
      </c>
      <c t="s" s="30" r="F1273">
        <v>4</v>
      </c>
      <c t="s" s="30" r="G1273">
        <v>243</v>
      </c>
      <c t="str" s="12" r="H1273">
        <f>HYPERLINK("http://sofifa.com/en/fifa13winter/player/145461-bobby-zamora","B. Zamora")</f>
        <v>B. Zamora</v>
      </c>
      <c s="30" r="I1273">
        <v>76</v>
      </c>
      <c t="s" s="30" r="J1273">
        <v>129</v>
      </c>
      <c t="s" s="30" r="K1273">
        <v>132</v>
      </c>
      <c t="s" s="30" r="L1273">
        <v>192</v>
      </c>
      <c s="30" r="M1273">
        <v>31</v>
      </c>
      <c s="26" r="N1273">
        <v>4.7</v>
      </c>
      <c s="23" r="O1273">
        <v>0.017</v>
      </c>
      <c s="7" r="P1273"/>
      <c s="7" r="Q1273"/>
      <c s="7" r="R1273">
        <f>IF((P1273&gt;0),O1273,0)</f>
        <v>0</v>
      </c>
      <c t="str" r="S1273">
        <f>CONCATENATE(F1273,E1273)</f>
        <v>NON FTLNON FTL</v>
      </c>
    </row>
    <row r="1274">
      <c t="s" s="7" r="A1274">
        <v>201</v>
      </c>
      <c s="7" r="B1274">
        <v>1301</v>
      </c>
      <c s="30" r="C1274">
        <v>37</v>
      </c>
      <c t="s" s="30" r="D1274">
        <v>136</v>
      </c>
      <c t="s" s="30" r="E1274">
        <v>4</v>
      </c>
      <c t="s" s="30" r="F1274">
        <v>4</v>
      </c>
      <c t="s" s="30" r="G1274">
        <v>243</v>
      </c>
      <c t="str" s="12" r="H1274">
        <f>HYPERLINK("http://sofifa.com/en/fifa13winter/player/145935-jay-bothroyd","J. Bothroyd")</f>
        <v>J. Bothroyd</v>
      </c>
      <c s="30" r="I1274">
        <v>70</v>
      </c>
      <c t="s" s="30" r="J1274">
        <v>129</v>
      </c>
      <c t="s" s="30" r="K1274">
        <v>144</v>
      </c>
      <c t="s" s="30" r="L1274">
        <v>108</v>
      </c>
      <c s="30" r="M1274">
        <v>30</v>
      </c>
      <c s="26" r="N1274">
        <v>1.9</v>
      </c>
      <c s="23" r="O1274">
        <v>0.008</v>
      </c>
      <c s="7" r="P1274"/>
      <c s="7" r="Q1274"/>
      <c s="7" r="R1274">
        <f>IF((P1274&gt;0),O1274,0)</f>
        <v>0</v>
      </c>
      <c t="str" r="S1274">
        <f>CONCATENATE(F1274,E1274)</f>
        <v>NON FTLNON FTL</v>
      </c>
    </row>
    <row r="1275">
      <c t="s" s="7" r="A1275">
        <v>201</v>
      </c>
      <c s="7" r="B1275">
        <v>1302</v>
      </c>
      <c s="30" r="C1275">
        <v>1</v>
      </c>
      <c t="s" s="30" r="D1275">
        <v>136</v>
      </c>
      <c t="s" s="30" r="E1275">
        <v>4</v>
      </c>
      <c t="s" s="30" r="F1275">
        <v>4</v>
      </c>
      <c t="s" s="30" r="G1275">
        <v>243</v>
      </c>
      <c t="str" s="12" r="H1275">
        <f>HYPERLINK("http://sofifa.com/en/fifa13winter/player/145097-robert-green","R. Green")</f>
        <v>R. Green</v>
      </c>
      <c s="30" r="I1275">
        <v>76</v>
      </c>
      <c t="s" s="30" r="J1275">
        <v>106</v>
      </c>
      <c t="s" s="30" r="K1275">
        <v>144</v>
      </c>
      <c t="s" s="30" r="L1275">
        <v>184</v>
      </c>
      <c s="30" r="M1275">
        <v>32</v>
      </c>
      <c s="26" r="N1275">
        <v>3.1</v>
      </c>
      <c s="23" r="O1275">
        <v>0.018</v>
      </c>
      <c s="7" r="P1275"/>
      <c s="7" r="Q1275"/>
      <c s="7" r="R1275">
        <f>IF((P1275&gt;0),O1275,0)</f>
        <v>0</v>
      </c>
      <c t="str" r="S1275">
        <f>CONCATENATE(F1275,E1275)</f>
        <v>NON FTLNON FTL</v>
      </c>
    </row>
    <row r="1276">
      <c t="s" s="7" r="A1276">
        <v>201</v>
      </c>
      <c s="7" r="B1276">
        <v>1303</v>
      </c>
      <c s="30" r="C1276">
        <v>35</v>
      </c>
      <c t="s" s="30" r="D1276">
        <v>147</v>
      </c>
      <c t="s" s="30" r="E1276">
        <v>4</v>
      </c>
      <c t="s" s="30" r="F1276">
        <v>4</v>
      </c>
      <c t="s" s="30" r="G1276">
        <v>243</v>
      </c>
      <c t="str" s="12" r="H1276">
        <f>HYPERLINK("http://sofifa.com/en/fifa13winter/player/144914-luke-young","L. Young")</f>
        <v>L. Young</v>
      </c>
      <c s="30" r="I1276">
        <v>71</v>
      </c>
      <c t="s" s="30" r="J1276">
        <v>109</v>
      </c>
      <c t="s" s="30" r="K1276">
        <v>110</v>
      </c>
      <c t="s" s="30" r="L1276">
        <v>161</v>
      </c>
      <c s="30" r="M1276">
        <v>33</v>
      </c>
      <c s="26" r="N1276">
        <v>1.4</v>
      </c>
      <c s="23" r="O1276">
        <v>0.01</v>
      </c>
      <c s="7" r="P1276"/>
      <c s="7" r="Q1276"/>
      <c s="7" r="R1276">
        <f>IF((P1276&gt;0),O1276,0)</f>
        <v>0</v>
      </c>
      <c t="str" r="S1276">
        <f>CONCATENATE(F1276,E1276)</f>
        <v>NON FTLNON FTL</v>
      </c>
    </row>
    <row r="1277">
      <c t="s" s="7" r="A1277">
        <v>201</v>
      </c>
      <c s="7" r="B1277">
        <v>1304</v>
      </c>
      <c s="30" r="C1277">
        <v>50</v>
      </c>
      <c t="s" s="30" r="D1277">
        <v>147</v>
      </c>
      <c t="s" s="30" r="E1277">
        <v>4</v>
      </c>
      <c t="s" s="30" r="F1277">
        <v>4</v>
      </c>
      <c t="s" s="30" r="G1277">
        <v>243</v>
      </c>
      <c t="str" s="12" r="H1277">
        <f>HYPERLINK("http://sofifa.com/en/fifa13winter/player/150103-bruno-miguel-carvalho-andrade","Bruno Andrade")</f>
        <v>Bruno Andrade</v>
      </c>
      <c s="30" r="I1277">
        <v>61</v>
      </c>
      <c t="s" s="30" r="J1277">
        <v>120</v>
      </c>
      <c t="s" s="30" r="K1277">
        <v>139</v>
      </c>
      <c t="s" s="30" r="L1277">
        <v>160</v>
      </c>
      <c s="30" r="M1277">
        <v>18</v>
      </c>
      <c s="26" r="N1277">
        <v>0.7</v>
      </c>
      <c s="23" r="O1277">
        <v>0.003</v>
      </c>
      <c s="7" r="P1277"/>
      <c s="7" r="Q1277"/>
      <c s="7" r="R1277">
        <f>IF((P1277&gt;0),O1277,0)</f>
        <v>0</v>
      </c>
      <c t="str" r="S1277">
        <f>CONCATENATE(F1277,E1277)</f>
        <v>NON FTLNON FTL</v>
      </c>
    </row>
    <row r="1278">
      <c t="s" s="7" r="A1278">
        <v>201</v>
      </c>
      <c s="7" r="B1278">
        <v>1305</v>
      </c>
      <c s="30" r="C1278">
        <v>52</v>
      </c>
      <c t="s" s="30" r="D1278">
        <v>147</v>
      </c>
      <c t="s" s="30" r="E1278">
        <v>4</v>
      </c>
      <c t="s" s="30" r="F1278">
        <v>4</v>
      </c>
      <c t="s" s="30" r="G1278">
        <v>243</v>
      </c>
      <c t="str" s="12" r="H1278">
        <f>HYPERLINK("http://sofifa.com/en/fifa13winter/player/149737-tom-hitchcock","T. Hitchcock")</f>
        <v>T. Hitchcock</v>
      </c>
      <c s="30" r="I1278">
        <v>57</v>
      </c>
      <c t="s" s="30" r="J1278">
        <v>129</v>
      </c>
      <c t="s" s="30" r="K1278">
        <v>118</v>
      </c>
      <c t="s" s="30" r="L1278">
        <v>142</v>
      </c>
      <c s="30" r="M1278">
        <v>19</v>
      </c>
      <c s="26" r="N1278">
        <v>0.3</v>
      </c>
      <c s="23" r="O1278">
        <v>0.002</v>
      </c>
      <c s="7" r="P1278"/>
      <c s="7" r="Q1278"/>
      <c s="7" r="R1278">
        <f>IF((P1278&gt;0),O1278,0)</f>
        <v>0</v>
      </c>
      <c t="str" r="S1278">
        <f>CONCATENATE(F1278,E1278)</f>
        <v>NON FTLNON FTL</v>
      </c>
    </row>
    <row r="1279">
      <c t="s" s="7" r="A1279">
        <v>201</v>
      </c>
      <c s="7" r="B1279">
        <v>1306</v>
      </c>
      <c s="30" r="C1279">
        <v>53</v>
      </c>
      <c t="s" s="30" r="D1279">
        <v>147</v>
      </c>
      <c t="s" s="30" r="E1279">
        <v>4</v>
      </c>
      <c t="s" s="30" r="F1279">
        <v>4</v>
      </c>
      <c t="s" s="30" r="G1279">
        <v>243</v>
      </c>
      <c t="str" s="12" r="H1279">
        <f>HYPERLINK("http://sofifa.com/en/fifa13winter/player/149895-mo-sharif","M. Sharif")</f>
        <v>M. Sharif</v>
      </c>
      <c s="30" r="I1279">
        <v>60</v>
      </c>
      <c t="s" s="30" r="J1279">
        <v>129</v>
      </c>
      <c t="s" s="30" r="K1279">
        <v>130</v>
      </c>
      <c t="s" s="30" r="L1279">
        <v>141</v>
      </c>
      <c s="30" r="M1279">
        <v>19</v>
      </c>
      <c s="26" r="N1279">
        <v>0.7</v>
      </c>
      <c s="23" r="O1279">
        <v>0.003</v>
      </c>
      <c s="7" r="P1279"/>
      <c s="7" r="Q1279"/>
      <c s="7" r="R1279">
        <f>IF((P1279&gt;0),O1279,0)</f>
        <v>0</v>
      </c>
      <c t="str" r="S1279">
        <f>CONCATENATE(F1279,E1279)</f>
        <v>NON FTLNON FTL</v>
      </c>
    </row>
    <row r="1280">
      <c t="s" s="7" r="A1280">
        <v>201</v>
      </c>
      <c s="7" r="B1280">
        <v>1307</v>
      </c>
      <c s="30" r="C1280">
        <v>29</v>
      </c>
      <c t="s" s="30" r="D1280">
        <v>147</v>
      </c>
      <c t="s" s="30" r="E1280">
        <v>4</v>
      </c>
      <c t="s" s="30" r="F1280">
        <v>4</v>
      </c>
      <c t="s" s="30" r="G1280">
        <v>243</v>
      </c>
      <c t="str" s="12" r="H1280">
        <f>HYPERLINK("http://sofifa.com/en/fifa13winter/player/149787-michael-doughty","M. Doughty")</f>
        <v>M. Doughty</v>
      </c>
      <c s="30" r="I1280">
        <v>55</v>
      </c>
      <c t="s" s="30" r="J1280">
        <v>128</v>
      </c>
      <c t="s" s="30" r="K1280">
        <v>132</v>
      </c>
      <c t="s" s="30" r="L1280">
        <v>153</v>
      </c>
      <c s="30" r="M1280">
        <v>19</v>
      </c>
      <c s="26" r="N1280">
        <v>0.1</v>
      </c>
      <c s="23" r="O1280">
        <v>0.002</v>
      </c>
      <c s="7" r="P1280"/>
      <c s="7" r="Q1280"/>
      <c s="7" r="R1280">
        <f>IF((P1280&gt;0),O1280,0)</f>
        <v>0</v>
      </c>
      <c t="str" r="S1280">
        <f>CONCATENATE(F1280,E1280)</f>
        <v>NON FTLNON FTL</v>
      </c>
    </row>
    <row r="1281">
      <c t="s" s="7" r="A1281">
        <v>201</v>
      </c>
      <c s="7" r="B1281">
        <v>1308</v>
      </c>
      <c s="30" r="C1281">
        <v>28</v>
      </c>
      <c t="s" s="30" r="D1281">
        <v>147</v>
      </c>
      <c t="s" s="30" r="E1281">
        <v>4</v>
      </c>
      <c t="s" s="30" r="F1281">
        <v>4</v>
      </c>
      <c t="s" s="30" r="G1281">
        <v>243</v>
      </c>
      <c t="str" s="12" r="H1281">
        <f>HYPERLINK("http://sofifa.com/en/fifa13winter/player/149496-max-ehmer","M. Ehmer")</f>
        <v>M. Ehmer</v>
      </c>
      <c s="30" r="I1281">
        <v>61</v>
      </c>
      <c t="s" s="30" r="J1281">
        <v>117</v>
      </c>
      <c t="s" s="30" r="K1281">
        <v>134</v>
      </c>
      <c t="s" s="30" r="L1281">
        <v>122</v>
      </c>
      <c s="30" r="M1281">
        <v>20</v>
      </c>
      <c s="26" r="N1281">
        <v>0.6</v>
      </c>
      <c s="23" r="O1281">
        <v>0.003</v>
      </c>
      <c s="7" r="P1281"/>
      <c s="7" r="Q1281"/>
      <c s="7" r="R1281">
        <f>IF((P1281&gt;0),O1281,0)</f>
        <v>0</v>
      </c>
      <c t="str" r="S1281">
        <f>CONCATENATE(F1281,E1281)</f>
        <v>NON FTLNON FTL</v>
      </c>
    </row>
    <row r="1282">
      <c t="s" s="7" r="A1282">
        <v>201</v>
      </c>
      <c s="7" r="B1282">
        <v>1309</v>
      </c>
      <c s="30" r="C1282">
        <v>8</v>
      </c>
      <c t="s" s="30" r="D1282">
        <v>147</v>
      </c>
      <c t="s" s="30" r="E1282">
        <v>4</v>
      </c>
      <c t="s" s="30" r="F1282">
        <v>4</v>
      </c>
      <c t="s" s="30" r="G1282">
        <v>243</v>
      </c>
      <c t="str" s="12" r="H1282">
        <f>HYPERLINK("http://sofifa.com/en/fifa13winter/player/145486-andrew-johnson","A. Johnson")</f>
        <v>A. Johnson</v>
      </c>
      <c s="30" r="I1282">
        <v>74</v>
      </c>
      <c t="s" s="30" r="J1282">
        <v>129</v>
      </c>
      <c t="s" s="30" r="K1282">
        <v>121</v>
      </c>
      <c t="s" s="30" r="L1282">
        <v>141</v>
      </c>
      <c s="30" r="M1282">
        <v>31</v>
      </c>
      <c s="26" r="N1282">
        <v>3.5</v>
      </c>
      <c s="23" r="O1282">
        <v>0.012</v>
      </c>
      <c s="7" r="P1282"/>
      <c s="7" r="Q1282"/>
      <c s="7" r="R1282">
        <f>IF((P1282&gt;0),O1282,0)</f>
        <v>0</v>
      </c>
      <c t="str" r="S1282">
        <f>CONCATENATE(F1282,E1282)</f>
        <v>NON FTLNON FTL</v>
      </c>
    </row>
    <row r="1283">
      <c t="s" s="7" r="A1283">
        <v>201</v>
      </c>
      <c s="7" r="B1283">
        <v>1310</v>
      </c>
      <c s="30" r="C1283">
        <v>22</v>
      </c>
      <c t="s" s="30" r="D1283">
        <v>147</v>
      </c>
      <c t="s" s="30" r="E1283">
        <v>4</v>
      </c>
      <c t="s" s="30" r="F1283">
        <v>4</v>
      </c>
      <c t="s" s="30" r="G1283">
        <v>243</v>
      </c>
      <c t="str" s="12" r="H1283">
        <f>HYPERLINK("http://sofifa.com/en/fifa13winter/player/148092-hogan-ephraim","H. Ephraim")</f>
        <v>H. Ephraim</v>
      </c>
      <c s="30" r="I1283">
        <v>66</v>
      </c>
      <c t="s" s="30" r="J1283">
        <v>162</v>
      </c>
      <c t="s" s="30" r="K1283">
        <v>139</v>
      </c>
      <c t="s" s="30" r="L1283">
        <v>122</v>
      </c>
      <c s="30" r="M1283">
        <v>24</v>
      </c>
      <c s="26" r="N1283">
        <v>1.4</v>
      </c>
      <c s="23" r="O1283">
        <v>0.005</v>
      </c>
      <c s="7" r="P1283"/>
      <c s="7" r="Q1283"/>
      <c s="7" r="R1283">
        <f>IF((P1283&gt;0),O1283,0)</f>
        <v>0</v>
      </c>
      <c t="str" r="S1283">
        <f>CONCATENATE(F1283,E1283)</f>
        <v>NON FTLNON FTL</v>
      </c>
    </row>
    <row r="1284">
      <c t="s" s="7" r="A1284">
        <v>201</v>
      </c>
      <c s="7" r="B1284">
        <v>1311</v>
      </c>
      <c s="30" r="C1284">
        <v>49</v>
      </c>
      <c t="s" s="30" r="D1284">
        <v>147</v>
      </c>
      <c t="s" s="30" r="E1284">
        <v>4</v>
      </c>
      <c t="s" s="30" r="F1284">
        <v>4</v>
      </c>
      <c t="s" s="30" r="G1284">
        <v>243</v>
      </c>
      <c t="str" s="12" r="H1284">
        <f>HYPERLINK("http://sofifa.com/en/fifa13winter/player/148914-angelo-balanta","A. Balanta")</f>
        <v>A. Balanta</v>
      </c>
      <c s="30" r="I1284">
        <v>64</v>
      </c>
      <c t="s" s="30" r="J1284">
        <v>128</v>
      </c>
      <c t="s" s="30" r="K1284">
        <v>145</v>
      </c>
      <c t="s" s="30" r="L1284">
        <v>151</v>
      </c>
      <c s="30" r="M1284">
        <v>22</v>
      </c>
      <c s="26" r="N1284">
        <v>1</v>
      </c>
      <c s="23" r="O1284">
        <v>0.004</v>
      </c>
      <c s="7" r="P1284"/>
      <c s="7" r="Q1284"/>
      <c s="7" r="R1284">
        <f>IF((P1284&gt;0),O1284,0)</f>
        <v>0</v>
      </c>
      <c t="str" r="S1284">
        <f>CONCATENATE(F1284,E1284)</f>
        <v>NON FTLNON FTL</v>
      </c>
    </row>
    <row r="1285">
      <c t="s" s="7" r="A1285">
        <v>201</v>
      </c>
      <c s="7" r="B1285">
        <v>1312</v>
      </c>
      <c s="30" r="C1285">
        <v>30</v>
      </c>
      <c t="s" s="30" r="D1285">
        <v>147</v>
      </c>
      <c t="s" s="30" r="E1285">
        <v>4</v>
      </c>
      <c t="s" s="30" r="F1285">
        <v>4</v>
      </c>
      <c t="s" s="30" r="G1285">
        <v>243</v>
      </c>
      <c t="str" s="12" r="H1285">
        <f>HYPERLINK("http://sofifa.com/en/fifa13winter/player/150168-frankie-sutherland","F. Sutherland")</f>
        <v>F. Sutherland</v>
      </c>
      <c s="30" r="I1285">
        <v>54</v>
      </c>
      <c t="s" s="30" r="J1285">
        <v>124</v>
      </c>
      <c t="s" s="30" r="K1285">
        <v>159</v>
      </c>
      <c t="s" s="30" r="L1285">
        <v>142</v>
      </c>
      <c s="30" r="M1285">
        <v>18</v>
      </c>
      <c s="26" r="N1285">
        <v>0.1</v>
      </c>
      <c s="23" r="O1285">
        <v>0.002</v>
      </c>
      <c s="7" r="P1285"/>
      <c s="7" r="Q1285"/>
      <c s="7" r="R1285">
        <f>IF((P1285&gt;0),O1285,0)</f>
        <v>0</v>
      </c>
      <c t="str" r="S1285">
        <f>CONCATENATE(F1285,E1285)</f>
        <v>NON FTLNON FTL</v>
      </c>
    </row>
    <row r="1286">
      <c t="s" s="7" r="A1286">
        <v>201</v>
      </c>
      <c s="7" r="B1286">
        <v>1313</v>
      </c>
      <c s="30" r="C1286">
        <v>1</v>
      </c>
      <c t="s" s="30" r="D1286">
        <v>106</v>
      </c>
      <c t="s" s="30" r="E1286">
        <v>4</v>
      </c>
      <c t="s" s="30" r="F1286">
        <v>4</v>
      </c>
      <c t="s" s="30" r="G1286">
        <v>244</v>
      </c>
      <c t="str" s="12" r="H1286">
        <f>HYPERLINK("http://sofifa.com/en/fifa13winter/player/149583-marc-andre-ter-stegen","M. ter Stegen")</f>
        <v>M. ter Stegen</v>
      </c>
      <c s="30" r="I1286">
        <v>80</v>
      </c>
      <c t="s" s="30" r="J1286">
        <v>106</v>
      </c>
      <c t="s" s="30" r="K1286">
        <v>169</v>
      </c>
      <c t="s" s="30" r="L1286">
        <v>179</v>
      </c>
      <c s="30" r="M1286">
        <v>20</v>
      </c>
      <c s="26" r="N1286">
        <v>9</v>
      </c>
      <c s="23" r="O1286">
        <v>0.025</v>
      </c>
      <c s="7" r="P1286"/>
      <c s="7" r="Q1286"/>
      <c s="7" r="R1286">
        <f>IF((P1286&gt;0),O1286,0)</f>
        <v>0</v>
      </c>
      <c t="str" r="S1286">
        <f>CONCATENATE(F1286,E1286)</f>
        <v>NON FTLNON FTL</v>
      </c>
    </row>
    <row r="1287">
      <c t="s" s="7" r="A1287">
        <v>201</v>
      </c>
      <c s="7" r="B1287">
        <v>1314</v>
      </c>
      <c s="30" r="C1287">
        <v>24</v>
      </c>
      <c t="s" s="30" r="D1287">
        <v>109</v>
      </c>
      <c t="s" s="30" r="E1287">
        <v>4</v>
      </c>
      <c t="s" s="30" r="F1287">
        <v>4</v>
      </c>
      <c t="s" s="30" r="G1287">
        <v>244</v>
      </c>
      <c t="str" s="12" r="H1287">
        <f>HYPERLINK("http://sofifa.com/en/fifa13winter/player/148829-tony-jantschke","T. Jantschke")</f>
        <v>T. Jantschke</v>
      </c>
      <c s="30" r="I1287">
        <v>74</v>
      </c>
      <c t="s" s="30" r="J1287">
        <v>109</v>
      </c>
      <c t="s" s="30" r="K1287">
        <v>159</v>
      </c>
      <c t="s" s="30" r="L1287">
        <v>160</v>
      </c>
      <c s="30" r="M1287">
        <v>22</v>
      </c>
      <c s="26" r="N1287">
        <v>3.4</v>
      </c>
      <c s="23" r="O1287">
        <v>0.01</v>
      </c>
      <c s="7" r="P1287"/>
      <c s="7" r="Q1287"/>
      <c s="7" r="R1287">
        <f>IF((P1287&gt;0),O1287,0)</f>
        <v>0</v>
      </c>
      <c t="str" r="S1287">
        <f>CONCATENATE(F1287,E1287)</f>
        <v>NON FTLNON FTL</v>
      </c>
    </row>
    <row r="1288">
      <c t="s" s="7" r="A1288">
        <v>201</v>
      </c>
      <c s="7" r="B1288">
        <v>1315</v>
      </c>
      <c s="30" r="C1288">
        <v>39</v>
      </c>
      <c t="s" s="30" r="D1288">
        <v>112</v>
      </c>
      <c t="s" s="30" r="E1288">
        <v>4</v>
      </c>
      <c t="s" s="30" r="F1288">
        <v>4</v>
      </c>
      <c t="s" s="30" r="G1288">
        <v>244</v>
      </c>
      <c t="str" s="12" r="H1288">
        <f>HYPERLINK("http://sofifa.com/en/fifa13winter/player/145247-martin-stranzl","M. Stranzl")</f>
        <v>M. Stranzl</v>
      </c>
      <c s="30" r="I1288">
        <v>78</v>
      </c>
      <c t="s" s="30" r="J1288">
        <v>113</v>
      </c>
      <c t="s" s="30" r="K1288">
        <v>152</v>
      </c>
      <c t="s" s="30" r="L1288">
        <v>108</v>
      </c>
      <c s="30" r="M1288">
        <v>32</v>
      </c>
      <c s="26" r="N1288">
        <v>4.8</v>
      </c>
      <c s="23" r="O1288">
        <v>0.023</v>
      </c>
      <c s="7" r="P1288"/>
      <c s="7" r="Q1288"/>
      <c s="7" r="R1288">
        <f>IF((P1288&gt;0),O1288,0)</f>
        <v>0</v>
      </c>
      <c t="str" r="S1288">
        <f>CONCATENATE(F1288,E1288)</f>
        <v>NON FTLNON FTL</v>
      </c>
    </row>
    <row r="1289">
      <c t="s" s="7" r="A1289">
        <v>201</v>
      </c>
      <c s="7" r="B1289">
        <v>1316</v>
      </c>
      <c s="30" r="C1289">
        <v>15</v>
      </c>
      <c t="s" s="30" r="D1289">
        <v>116</v>
      </c>
      <c t="s" s="30" r="E1289">
        <v>4</v>
      </c>
      <c t="s" s="30" r="F1289">
        <v>4</v>
      </c>
      <c t="s" s="30" r="G1289">
        <v>244</v>
      </c>
      <c t="str" s="12" r="H1289">
        <f>HYPERLINK("http://sofifa.com/en/fifa13winter/player/148502-alvaro-dominguez-soto","Domínguez")</f>
        <v>Domínguez</v>
      </c>
      <c s="30" r="I1289">
        <v>77</v>
      </c>
      <c t="s" s="30" r="J1289">
        <v>113</v>
      </c>
      <c t="s" s="30" r="K1289">
        <v>169</v>
      </c>
      <c t="s" s="30" r="L1289">
        <v>108</v>
      </c>
      <c s="30" r="M1289">
        <v>23</v>
      </c>
      <c s="26" r="N1289">
        <v>5.9</v>
      </c>
      <c s="23" r="O1289">
        <v>0.016</v>
      </c>
      <c s="7" r="P1289"/>
      <c s="7" r="Q1289"/>
      <c s="7" r="R1289">
        <f>IF((P1289&gt;0),O1289,0)</f>
        <v>0</v>
      </c>
      <c t="str" r="S1289">
        <f>CONCATENATE(F1289,E1289)</f>
        <v>NON FTLNON FTL</v>
      </c>
    </row>
    <row r="1290">
      <c t="s" s="7" r="A1290">
        <v>201</v>
      </c>
      <c s="7" r="B1290">
        <v>1317</v>
      </c>
      <c s="30" r="C1290">
        <v>17</v>
      </c>
      <c t="s" s="30" r="D1290">
        <v>117</v>
      </c>
      <c t="s" s="30" r="E1290">
        <v>4</v>
      </c>
      <c t="s" s="30" r="F1290">
        <v>4</v>
      </c>
      <c t="s" s="30" r="G1290">
        <v>244</v>
      </c>
      <c t="str" s="12" r="H1290">
        <f>HYPERLINK("http://sofifa.com/en/fifa13winter/player/147203-oscar-wendt","O. Wendt")</f>
        <v>O. Wendt</v>
      </c>
      <c s="30" r="I1290">
        <v>74</v>
      </c>
      <c t="s" s="30" r="J1290">
        <v>117</v>
      </c>
      <c t="s" s="30" r="K1290">
        <v>150</v>
      </c>
      <c t="s" s="30" r="L1290">
        <v>193</v>
      </c>
      <c s="30" r="M1290">
        <v>26</v>
      </c>
      <c s="26" r="N1290">
        <v>3.1</v>
      </c>
      <c s="23" r="O1290">
        <v>0.011</v>
      </c>
      <c s="7" r="P1290"/>
      <c s="7" r="Q1290"/>
      <c s="7" r="R1290">
        <f>IF((P1290&gt;0),O1290,0)</f>
        <v>0</v>
      </c>
      <c t="str" r="S1290">
        <f>CONCATENATE(F1290,E1290)</f>
        <v>NON FTLNON FTL</v>
      </c>
    </row>
    <row r="1291">
      <c t="s" s="7" r="A1291">
        <v>201</v>
      </c>
      <c s="7" r="B1291">
        <v>1318</v>
      </c>
      <c s="30" r="C1291">
        <v>16</v>
      </c>
      <c t="s" s="30" r="D1291">
        <v>186</v>
      </c>
      <c t="s" s="30" r="E1291">
        <v>4</v>
      </c>
      <c t="s" s="30" r="F1291">
        <v>4</v>
      </c>
      <c t="s" s="30" r="G1291">
        <v>244</v>
      </c>
      <c t="str" s="12" r="H1291">
        <f>HYPERLINK("http://sofifa.com/en/fifa13winter/player/148904-havard-nordtveit","H. Nordtveit")</f>
        <v>H. Nordtveit</v>
      </c>
      <c s="30" r="I1291">
        <v>75</v>
      </c>
      <c t="s" s="30" r="J1291">
        <v>154</v>
      </c>
      <c t="s" s="30" r="K1291">
        <v>134</v>
      </c>
      <c t="s" s="30" r="L1291">
        <v>179</v>
      </c>
      <c s="30" r="M1291">
        <v>22</v>
      </c>
      <c s="26" r="N1291">
        <v>4.2</v>
      </c>
      <c s="23" r="O1291">
        <v>0.012</v>
      </c>
      <c s="7" r="P1291"/>
      <c s="7" r="Q1291"/>
      <c s="7" r="R1291">
        <f>IF((P1291&gt;0),O1291,0)</f>
        <v>0</v>
      </c>
      <c t="str" r="S1291">
        <f>CONCATENATE(F1291,E1291)</f>
        <v>NON FTLNON FTL</v>
      </c>
    </row>
    <row r="1292">
      <c t="s" s="7" r="A1292">
        <v>201</v>
      </c>
      <c s="7" r="B1292">
        <v>1319</v>
      </c>
      <c s="30" r="C1292">
        <v>14</v>
      </c>
      <c t="s" s="30" r="D1292">
        <v>174</v>
      </c>
      <c t="s" s="30" r="E1292">
        <v>4</v>
      </c>
      <c t="s" s="30" r="F1292">
        <v>4</v>
      </c>
      <c t="s" s="30" r="G1292">
        <v>244</v>
      </c>
      <c t="str" s="12" r="H1292">
        <f>HYPERLINK("http://sofifa.com/en/fifa13winter/player/145597-thorben-marx","T. Marx")</f>
        <v>T. Marx</v>
      </c>
      <c s="30" r="I1292">
        <v>71</v>
      </c>
      <c t="s" s="30" r="J1292">
        <v>154</v>
      </c>
      <c t="s" s="30" r="K1292">
        <v>167</v>
      </c>
      <c t="s" s="30" r="L1292">
        <v>108</v>
      </c>
      <c s="30" r="M1292">
        <v>31</v>
      </c>
      <c s="26" r="N1292">
        <v>1.7</v>
      </c>
      <c s="23" r="O1292">
        <v>0.009</v>
      </c>
      <c s="7" r="P1292"/>
      <c s="7" r="Q1292"/>
      <c s="7" r="R1292">
        <f>IF((P1292&gt;0),O1292,0)</f>
        <v>0</v>
      </c>
      <c t="str" r="S1292">
        <f>CONCATENATE(F1292,E1292)</f>
        <v>NON FTLNON FTL</v>
      </c>
    </row>
    <row r="1293">
      <c t="s" s="7" r="A1293">
        <v>201</v>
      </c>
      <c s="7" r="B1293">
        <v>1320</v>
      </c>
      <c s="30" r="C1293">
        <v>7</v>
      </c>
      <c t="s" s="30" r="D1293">
        <v>120</v>
      </c>
      <c t="s" s="30" r="E1293">
        <v>4</v>
      </c>
      <c t="s" s="30" r="F1293">
        <v>4</v>
      </c>
      <c t="s" s="30" r="G1293">
        <v>244</v>
      </c>
      <c t="str" s="12" r="H1293">
        <f>HYPERLINK("http://sofifa.com/en/fifa13winter/player/149140-patrick-herrmann","P. Herrmann")</f>
        <v>P. Herrmann</v>
      </c>
      <c s="30" r="I1293">
        <v>76</v>
      </c>
      <c t="s" s="30" r="J1293">
        <v>120</v>
      </c>
      <c t="s" s="30" r="K1293">
        <v>145</v>
      </c>
      <c t="s" s="30" r="L1293">
        <v>111</v>
      </c>
      <c s="30" r="M1293">
        <v>21</v>
      </c>
      <c s="26" r="N1293">
        <v>6.2</v>
      </c>
      <c s="23" r="O1293">
        <v>0.013</v>
      </c>
      <c s="7" r="P1293"/>
      <c s="7" r="Q1293"/>
      <c s="7" r="R1293">
        <f>IF((P1293&gt;0),O1293,0)</f>
        <v>0</v>
      </c>
      <c t="str" r="S1293">
        <f>CONCATENATE(F1293,E1293)</f>
        <v>NON FTLNON FTL</v>
      </c>
    </row>
    <row r="1294">
      <c t="s" s="7" r="A1294">
        <v>201</v>
      </c>
      <c s="7" r="B1294">
        <v>1321</v>
      </c>
      <c s="30" r="C1294">
        <v>18</v>
      </c>
      <c t="s" s="30" r="D1294">
        <v>128</v>
      </c>
      <c t="s" s="30" r="E1294">
        <v>4</v>
      </c>
      <c t="s" s="30" r="F1294">
        <v>4</v>
      </c>
      <c t="s" s="30" r="G1294">
        <v>244</v>
      </c>
      <c t="str" s="12" r="H1294">
        <f>HYPERLINK("http://sofifa.com/en/fifa13winter/player/145217-juan-arango","J. Arango")</f>
        <v>J. Arango</v>
      </c>
      <c s="30" r="I1294">
        <v>79</v>
      </c>
      <c t="s" s="30" r="J1294">
        <v>128</v>
      </c>
      <c t="s" s="30" r="K1294">
        <v>114</v>
      </c>
      <c t="s" s="30" r="L1294">
        <v>137</v>
      </c>
      <c s="30" r="M1294">
        <v>32</v>
      </c>
      <c s="26" r="N1294">
        <v>6.4</v>
      </c>
      <c s="23" r="O1294">
        <v>0.026</v>
      </c>
      <c s="7" r="P1294"/>
      <c s="7" r="Q1294"/>
      <c s="7" r="R1294">
        <f>IF((P1294&gt;0),O1294,0)</f>
        <v>0</v>
      </c>
      <c t="str" r="S1294">
        <f>CONCATENATE(F1294,E1294)</f>
        <v>NON FTLNON FTL</v>
      </c>
    </row>
    <row r="1295">
      <c t="s" s="7" r="A1295">
        <v>201</v>
      </c>
      <c s="7" r="B1295">
        <v>1322</v>
      </c>
      <c s="30" r="C1295">
        <v>31</v>
      </c>
      <c t="s" s="30" r="D1295">
        <v>131</v>
      </c>
      <c t="s" s="30" r="E1295">
        <v>4</v>
      </c>
      <c t="s" s="30" r="F1295">
        <v>4</v>
      </c>
      <c t="s" s="30" r="G1295">
        <v>244</v>
      </c>
      <c t="str" s="12" r="H1295">
        <f>HYPERLINK("http://sofifa.com/en/fifa13winter/player/149840-branimir-hrgota","B. Hrgota")</f>
        <v>B. Hrgota</v>
      </c>
      <c s="30" r="I1295">
        <v>67</v>
      </c>
      <c t="s" s="30" r="J1295">
        <v>171</v>
      </c>
      <c t="s" s="30" r="K1295">
        <v>132</v>
      </c>
      <c t="s" s="30" r="L1295">
        <v>160</v>
      </c>
      <c s="30" r="M1295">
        <v>19</v>
      </c>
      <c s="26" r="N1295">
        <v>1.9</v>
      </c>
      <c s="23" r="O1295">
        <v>0.004</v>
      </c>
      <c s="7" r="P1295"/>
      <c s="7" r="Q1295"/>
      <c s="7" r="R1295">
        <f>IF((P1295&gt;0),O1295,0)</f>
        <v>0</v>
      </c>
      <c t="str" r="S1295">
        <f>CONCATENATE(F1295,E1295)</f>
        <v>NON FTLNON FTL</v>
      </c>
    </row>
    <row r="1296">
      <c t="s" s="7" r="A1296">
        <v>201</v>
      </c>
      <c s="7" r="B1296">
        <v>1323</v>
      </c>
      <c s="30" r="C1296">
        <v>9</v>
      </c>
      <c t="s" s="30" r="D1296">
        <v>133</v>
      </c>
      <c t="s" s="30" r="E1296">
        <v>4</v>
      </c>
      <c t="s" s="30" r="F1296">
        <v>4</v>
      </c>
      <c t="s" s="30" r="G1296">
        <v>244</v>
      </c>
      <c t="str" s="12" r="H1296">
        <f>HYPERLINK("http://sofifa.com/en/fifa13winter/player/148971-luuk-de-jong","L. de Jong")</f>
        <v>L. de Jong</v>
      </c>
      <c s="30" r="I1296">
        <v>79</v>
      </c>
      <c t="s" s="30" r="J1296">
        <v>129</v>
      </c>
      <c t="s" s="30" r="K1296">
        <v>134</v>
      </c>
      <c t="s" s="30" r="L1296">
        <v>180</v>
      </c>
      <c s="30" r="M1296">
        <v>22</v>
      </c>
      <c s="26" r="N1296">
        <v>9.3</v>
      </c>
      <c s="23" r="O1296">
        <v>0.02</v>
      </c>
      <c s="7" r="P1296"/>
      <c s="7" r="Q1296"/>
      <c s="7" r="R1296">
        <f>IF((P1296&gt;0),O1296,0)</f>
        <v>0</v>
      </c>
      <c t="str" r="S1296">
        <f>CONCATENATE(F1296,E1296)</f>
        <v>NON FTLNON FTL</v>
      </c>
    </row>
    <row r="1297">
      <c t="s" s="7" r="A1297">
        <v>201</v>
      </c>
      <c s="7" r="B1297">
        <v>1324</v>
      </c>
      <c s="30" r="C1297">
        <v>27</v>
      </c>
      <c t="s" s="30" r="D1297">
        <v>136</v>
      </c>
      <c t="s" s="30" r="E1297">
        <v>4</v>
      </c>
      <c t="s" s="30" r="F1297">
        <v>4</v>
      </c>
      <c t="s" s="30" r="G1297">
        <v>244</v>
      </c>
      <c t="str" s="12" r="H1297">
        <f>HYPERLINK("http://sofifa.com/en/fifa13winter/player/149543-julian-korb","J. Korb")</f>
        <v>J. Korb</v>
      </c>
      <c s="30" r="I1297">
        <v>63</v>
      </c>
      <c t="s" s="30" r="J1297">
        <v>154</v>
      </c>
      <c t="s" s="30" r="K1297">
        <v>159</v>
      </c>
      <c t="s" s="30" r="L1297">
        <v>111</v>
      </c>
      <c s="30" r="M1297">
        <v>20</v>
      </c>
      <c s="26" r="N1297">
        <v>0.8</v>
      </c>
      <c s="23" r="O1297">
        <v>0.003</v>
      </c>
      <c s="7" r="P1297"/>
      <c s="7" r="Q1297"/>
      <c s="7" r="R1297">
        <f>IF((P1297&gt;0),O1297,0)</f>
        <v>0</v>
      </c>
      <c t="str" r="S1297">
        <f>CONCATENATE(F1297,E1297)</f>
        <v>NON FTLNON FTL</v>
      </c>
    </row>
    <row r="1298">
      <c t="s" s="7" r="A1298">
        <v>201</v>
      </c>
      <c s="7" r="B1298">
        <v>1325</v>
      </c>
      <c s="30" r="C1298">
        <v>37</v>
      </c>
      <c t="s" s="30" r="D1298">
        <v>136</v>
      </c>
      <c t="s" s="30" r="E1298">
        <v>4</v>
      </c>
      <c t="s" s="30" r="F1298">
        <v>4</v>
      </c>
      <c t="s" s="30" r="G1298">
        <v>244</v>
      </c>
      <c t="str" s="12" r="H1298">
        <f>HYPERLINK("http://sofifa.com/en/fifa13winter/player/148880-niklas-dams","N. Dams")</f>
        <v>N. Dams</v>
      </c>
      <c s="30" r="I1298">
        <v>62</v>
      </c>
      <c t="s" s="30" r="J1298">
        <v>113</v>
      </c>
      <c t="s" s="30" r="K1298">
        <v>132</v>
      </c>
      <c t="s" s="30" r="L1298">
        <v>138</v>
      </c>
      <c s="30" r="M1298">
        <v>22</v>
      </c>
      <c s="26" r="N1298">
        <v>0.7</v>
      </c>
      <c s="23" r="O1298">
        <v>0.003</v>
      </c>
      <c s="7" r="P1298"/>
      <c s="7" r="Q1298"/>
      <c s="7" r="R1298">
        <f>IF((P1298&gt;0),O1298,0)</f>
        <v>0</v>
      </c>
      <c t="str" r="S1298">
        <f>CONCATENATE(F1298,E1298)</f>
        <v>NON FTLNON FTL</v>
      </c>
    </row>
    <row r="1299">
      <c t="s" s="7" r="A1299">
        <v>201</v>
      </c>
      <c s="7" r="B1299">
        <v>1326</v>
      </c>
      <c s="30" r="C1299">
        <v>25</v>
      </c>
      <c t="s" s="30" r="D1299">
        <v>136</v>
      </c>
      <c t="s" s="30" r="E1299">
        <v>4</v>
      </c>
      <c t="s" s="30" r="F1299">
        <v>4</v>
      </c>
      <c t="s" s="30" r="G1299">
        <v>244</v>
      </c>
      <c t="str" s="12" r="H1299">
        <f>HYPERLINK("http://sofifa.com/en/fifa13winter/player/150046-amin-younes","A. Younes")</f>
        <v>A. Younes</v>
      </c>
      <c s="30" r="I1299">
        <v>68</v>
      </c>
      <c t="s" s="30" r="J1299">
        <v>171</v>
      </c>
      <c t="s" s="30" r="K1299">
        <v>148</v>
      </c>
      <c t="s" s="30" r="L1299">
        <v>163</v>
      </c>
      <c s="30" r="M1299">
        <v>19</v>
      </c>
      <c s="26" r="N1299">
        <v>2.1</v>
      </c>
      <c s="23" r="O1299">
        <v>0.005</v>
      </c>
      <c s="7" r="P1299"/>
      <c s="7" r="Q1299"/>
      <c s="7" r="R1299">
        <f>IF((P1299&gt;0),O1299,0)</f>
        <v>0</v>
      </c>
      <c t="str" r="S1299">
        <f>CONCATENATE(F1299,E1299)</f>
        <v>NON FTLNON FTL</v>
      </c>
    </row>
    <row r="1300">
      <c t="s" s="7" r="A1300">
        <v>201</v>
      </c>
      <c s="7" r="B1300">
        <v>1327</v>
      </c>
      <c s="30" r="C1300">
        <v>5</v>
      </c>
      <c t="s" s="30" r="D1300">
        <v>136</v>
      </c>
      <c t="s" s="30" r="E1300">
        <v>4</v>
      </c>
      <c t="s" s="30" r="F1300">
        <v>4</v>
      </c>
      <c t="s" s="30" r="G1300">
        <v>244</v>
      </c>
      <c t="str" s="12" r="H1300">
        <f>HYPERLINK("http://sofifa.com/en/fifa13winter/player/149196-alexander-ring","A. Ring")</f>
        <v>A. Ring</v>
      </c>
      <c s="30" r="I1300">
        <v>70</v>
      </c>
      <c t="s" s="30" r="J1300">
        <v>120</v>
      </c>
      <c t="s" s="30" r="K1300">
        <v>130</v>
      </c>
      <c t="s" s="30" r="L1300">
        <v>146</v>
      </c>
      <c s="30" r="M1300">
        <v>21</v>
      </c>
      <c s="26" r="N1300">
        <v>2.1</v>
      </c>
      <c s="23" r="O1300">
        <v>0.006</v>
      </c>
      <c s="7" r="P1300"/>
      <c s="7" r="Q1300"/>
      <c s="7" r="R1300">
        <f>IF((P1300&gt;0),O1300,0)</f>
        <v>0</v>
      </c>
      <c t="str" r="S1300">
        <f>CONCATENATE(F1300,E1300)</f>
        <v>NON FTLNON FTL</v>
      </c>
    </row>
    <row r="1301">
      <c t="s" s="7" r="A1301">
        <v>201</v>
      </c>
      <c s="7" r="B1301">
        <v>1328</v>
      </c>
      <c s="30" r="C1301">
        <v>6</v>
      </c>
      <c t="s" s="30" r="D1301">
        <v>136</v>
      </c>
      <c t="s" s="30" r="E1301">
        <v>4</v>
      </c>
      <c t="s" s="30" r="F1301">
        <v>4</v>
      </c>
      <c t="s" s="30" r="G1301">
        <v>244</v>
      </c>
      <c t="str" s="12" r="H1301">
        <f>HYPERLINK("http://sofifa.com/en/fifa13winter/player/149545-tolga-cigerci","T. Cigerci")</f>
        <v>T. Cigerci</v>
      </c>
      <c s="30" r="I1301">
        <v>70</v>
      </c>
      <c t="s" s="30" r="J1301">
        <v>124</v>
      </c>
      <c t="s" s="30" r="K1301">
        <v>132</v>
      </c>
      <c t="s" s="30" r="L1301">
        <v>151</v>
      </c>
      <c s="30" r="M1301">
        <v>20</v>
      </c>
      <c s="26" r="N1301">
        <v>2</v>
      </c>
      <c s="23" r="O1301">
        <v>0.006</v>
      </c>
      <c s="7" r="P1301"/>
      <c s="7" r="Q1301"/>
      <c s="7" r="R1301">
        <f>IF((P1301&gt;0),O1301,0)</f>
        <v>0</v>
      </c>
      <c t="str" r="S1301">
        <f>CONCATENATE(F1301,E1301)</f>
        <v>NON FTLNON FTL</v>
      </c>
    </row>
    <row r="1302">
      <c t="s" s="7" r="A1302">
        <v>201</v>
      </c>
      <c s="7" r="B1302">
        <v>1329</v>
      </c>
      <c s="30" r="C1302">
        <v>8</v>
      </c>
      <c t="s" s="30" r="D1302">
        <v>136</v>
      </c>
      <c t="s" s="30" r="E1302">
        <v>4</v>
      </c>
      <c t="s" s="30" r="F1302">
        <v>4</v>
      </c>
      <c t="s" s="30" r="G1302">
        <v>244</v>
      </c>
      <c t="str" s="12" r="H1302">
        <f>HYPERLINK("http://sofifa.com/en/fifa13winter/player/149105-lukas-rupp","L. Rupp")</f>
        <v>L. Rupp</v>
      </c>
      <c s="30" r="I1302">
        <v>67</v>
      </c>
      <c t="s" s="30" r="J1302">
        <v>120</v>
      </c>
      <c t="s" s="30" r="K1302">
        <v>118</v>
      </c>
      <c t="s" s="30" r="L1302">
        <v>119</v>
      </c>
      <c s="30" r="M1302">
        <v>21</v>
      </c>
      <c s="26" r="N1302">
        <v>1.5</v>
      </c>
      <c s="23" r="O1302">
        <v>0.005</v>
      </c>
      <c s="7" r="P1302"/>
      <c s="7" r="Q1302"/>
      <c s="7" r="R1302">
        <f>IF((P1302&gt;0),O1302,0)</f>
        <v>0</v>
      </c>
      <c t="str" r="S1302">
        <f>CONCATENATE(F1302,E1302)</f>
        <v>NON FTLNON FTL</v>
      </c>
    </row>
    <row r="1303">
      <c t="s" s="7" r="A1303">
        <v>201</v>
      </c>
      <c s="7" r="B1303">
        <v>1330</v>
      </c>
      <c s="30" r="C1303">
        <v>34</v>
      </c>
      <c t="s" s="30" r="D1303">
        <v>136</v>
      </c>
      <c t="s" s="30" r="E1303">
        <v>4</v>
      </c>
      <c t="s" s="30" r="F1303">
        <v>4</v>
      </c>
      <c t="s" s="30" r="G1303">
        <v>244</v>
      </c>
      <c t="str" s="12" r="H1303">
        <f>HYPERLINK("http://sofifa.com/en/fifa13winter/player/149733-granit-xhaka","G. Xhaka")</f>
        <v>G. Xhaka</v>
      </c>
      <c s="30" r="I1303">
        <v>74</v>
      </c>
      <c t="s" s="30" r="J1303">
        <v>124</v>
      </c>
      <c t="s" s="30" r="K1303">
        <v>132</v>
      </c>
      <c t="s" s="30" r="L1303">
        <v>193</v>
      </c>
      <c s="30" r="M1303">
        <v>19</v>
      </c>
      <c s="26" r="N1303">
        <v>3.8</v>
      </c>
      <c s="23" r="O1303">
        <v>0.009</v>
      </c>
      <c s="7" r="P1303"/>
      <c s="7" r="Q1303"/>
      <c s="7" r="R1303">
        <f>IF((P1303&gt;0),O1303,0)</f>
        <v>0</v>
      </c>
      <c t="str" r="S1303">
        <f>CONCATENATE(F1303,E1303)</f>
        <v>NON FTLNON FTL</v>
      </c>
    </row>
    <row r="1304">
      <c t="s" s="7" r="A1304">
        <v>201</v>
      </c>
      <c s="7" r="B1304">
        <v>1331</v>
      </c>
      <c s="30" r="C1304">
        <v>19</v>
      </c>
      <c t="s" s="30" r="D1304">
        <v>136</v>
      </c>
      <c t="s" s="30" r="E1304">
        <v>4</v>
      </c>
      <c t="s" s="30" r="F1304">
        <v>4</v>
      </c>
      <c t="s" s="30" r="G1304">
        <v>244</v>
      </c>
      <c t="str" s="12" r="H1304">
        <f>HYPERLINK("http://sofifa.com/en/fifa13winter/player/146484-mike-hanke","M. Hanke")</f>
        <v>M. Hanke</v>
      </c>
      <c s="30" r="I1304">
        <v>74</v>
      </c>
      <c t="s" s="30" r="J1304">
        <v>129</v>
      </c>
      <c t="s" s="30" r="K1304">
        <v>132</v>
      </c>
      <c t="s" s="30" r="L1304">
        <v>179</v>
      </c>
      <c s="30" r="M1304">
        <v>28</v>
      </c>
      <c s="26" r="N1304">
        <v>3.8</v>
      </c>
      <c s="23" r="O1304">
        <v>0.011</v>
      </c>
      <c s="7" r="P1304"/>
      <c s="7" r="Q1304"/>
      <c s="7" r="R1304">
        <f>IF((P1304&gt;0),O1304,0)</f>
        <v>0</v>
      </c>
      <c t="str" r="S1304">
        <f>CONCATENATE(F1304,E1304)</f>
        <v>NON FTLNON FTL</v>
      </c>
    </row>
    <row r="1305">
      <c t="s" s="7" r="A1305">
        <v>201</v>
      </c>
      <c s="7" r="B1305">
        <v>1332</v>
      </c>
      <c s="30" r="C1305">
        <v>33</v>
      </c>
      <c t="s" s="30" r="D1305">
        <v>136</v>
      </c>
      <c t="s" s="30" r="E1305">
        <v>4</v>
      </c>
      <c t="s" s="30" r="F1305">
        <v>4</v>
      </c>
      <c t="s" s="30" r="G1305">
        <v>244</v>
      </c>
      <c t="str" s="12" r="H1305">
        <f>HYPERLINK("http://sofifa.com/en/fifa13winter/player/145658-christofer-heimeroth","C. Heimeroth")</f>
        <v>C. Heimeroth</v>
      </c>
      <c s="30" r="I1305">
        <v>69</v>
      </c>
      <c t="s" s="30" r="J1305">
        <v>106</v>
      </c>
      <c t="s" s="30" r="K1305">
        <v>188</v>
      </c>
      <c t="s" s="30" r="L1305">
        <v>185</v>
      </c>
      <c s="30" r="M1305">
        <v>31</v>
      </c>
      <c s="26" r="N1305">
        <v>1.2</v>
      </c>
      <c s="23" r="O1305">
        <v>0.008</v>
      </c>
      <c s="7" r="P1305"/>
      <c s="7" r="Q1305"/>
      <c s="7" r="R1305">
        <f>IF((P1305&gt;0),O1305,0)</f>
        <v>0</v>
      </c>
      <c t="str" r="S1305">
        <f>CONCATENATE(F1305,E1305)</f>
        <v>NON FTLNON FTL</v>
      </c>
    </row>
    <row r="1306">
      <c t="s" s="7" r="A1306">
        <v>201</v>
      </c>
      <c s="7" r="B1306">
        <v>1333</v>
      </c>
      <c s="30" r="C1306">
        <v>3</v>
      </c>
      <c t="s" s="30" r="D1306">
        <v>136</v>
      </c>
      <c t="s" s="30" r="E1306">
        <v>4</v>
      </c>
      <c t="s" s="30" r="F1306">
        <v>4</v>
      </c>
      <c t="s" s="30" r="G1306">
        <v>244</v>
      </c>
      <c t="str" s="12" r="H1306">
        <f>HYPERLINK("http://sofifa.com/en/fifa13winter/player/144653-filip-daems","F. Daems")</f>
        <v>F. Daems</v>
      </c>
      <c s="30" r="I1306">
        <v>73</v>
      </c>
      <c t="s" s="30" r="J1306">
        <v>117</v>
      </c>
      <c t="s" s="30" r="K1306">
        <v>150</v>
      </c>
      <c t="s" s="30" r="L1306">
        <v>158</v>
      </c>
      <c s="30" r="M1306">
        <v>33</v>
      </c>
      <c s="26" r="N1306">
        <v>2</v>
      </c>
      <c s="23" r="O1306">
        <v>0.012</v>
      </c>
      <c s="7" r="P1306"/>
      <c s="7" r="Q1306"/>
      <c s="7" r="R1306">
        <f>IF((P1306&gt;0),O1306,0)</f>
        <v>0</v>
      </c>
      <c t="str" r="S1306">
        <f>CONCATENATE(F1306,E1306)</f>
        <v>NON FTLNON FTL</v>
      </c>
    </row>
    <row r="1307">
      <c t="s" s="7" r="A1307">
        <v>201</v>
      </c>
      <c s="7" r="B1307">
        <v>1334</v>
      </c>
      <c s="30" r="C1307">
        <v>4</v>
      </c>
      <c t="s" s="30" r="D1307">
        <v>136</v>
      </c>
      <c t="s" s="30" r="E1307">
        <v>4</v>
      </c>
      <c t="s" s="30" r="F1307">
        <v>4</v>
      </c>
      <c t="s" s="30" r="G1307">
        <v>244</v>
      </c>
      <c t="str" s="12" r="H1307">
        <f>HYPERLINK("http://sofifa.com/en/fifa13winter/player/145777-roel-brouwers","R. Brouwers")</f>
        <v>R. Brouwers</v>
      </c>
      <c s="30" r="I1307">
        <v>75</v>
      </c>
      <c t="s" s="30" r="J1307">
        <v>113</v>
      </c>
      <c t="s" s="30" r="K1307">
        <v>165</v>
      </c>
      <c t="s" s="30" r="L1307">
        <v>183</v>
      </c>
      <c s="30" r="M1307">
        <v>30</v>
      </c>
      <c s="26" r="N1307">
        <v>3.5</v>
      </c>
      <c s="23" r="O1307">
        <v>0.014</v>
      </c>
      <c s="7" r="P1307"/>
      <c s="7" r="Q1307"/>
      <c s="7" r="R1307">
        <f>IF((P1307&gt;0),O1307,0)</f>
        <v>0</v>
      </c>
      <c t="str" r="S1307">
        <f>CONCATENATE(F1307,E1307)</f>
        <v>NON FTLNON FTL</v>
      </c>
    </row>
    <row r="1308">
      <c t="s" s="7" r="A1308">
        <v>201</v>
      </c>
      <c s="7" r="B1308">
        <v>1335</v>
      </c>
      <c s="30" r="C1308">
        <v>22</v>
      </c>
      <c t="s" s="30" r="D1308">
        <v>136</v>
      </c>
      <c t="s" s="30" r="E1308">
        <v>4</v>
      </c>
      <c t="s" s="30" r="F1308">
        <v>4</v>
      </c>
      <c t="s" s="30" r="G1308">
        <v>244</v>
      </c>
      <c t="str" s="12" r="H1308">
        <f>HYPERLINK("http://sofifa.com/en/fifa13winter/player/149148-peniel-mlapa","P. Mlapa")</f>
        <v>P. Mlapa</v>
      </c>
      <c s="30" r="I1308">
        <v>72</v>
      </c>
      <c t="s" s="30" r="J1308">
        <v>129</v>
      </c>
      <c t="s" s="30" r="K1308">
        <v>107</v>
      </c>
      <c t="s" s="30" r="L1308">
        <v>191</v>
      </c>
      <c s="30" r="M1308">
        <v>21</v>
      </c>
      <c s="26" r="N1308">
        <v>3.4</v>
      </c>
      <c s="23" r="O1308">
        <v>0.008</v>
      </c>
      <c s="7" r="P1308"/>
      <c s="7" r="Q1308"/>
      <c s="7" r="R1308">
        <f>IF((P1308&gt;0),O1308,0)</f>
        <v>0</v>
      </c>
      <c t="str" r="S1308">
        <f>CONCATENATE(F1308,E1308)</f>
        <v>NON FTLNON FTL</v>
      </c>
    </row>
    <row r="1309">
      <c t="s" s="7" r="A1309">
        <v>201</v>
      </c>
      <c s="7" r="B1309">
        <v>1336</v>
      </c>
      <c s="30" r="C1309">
        <v>30</v>
      </c>
      <c t="s" s="30" r="D1309">
        <v>147</v>
      </c>
      <c t="s" s="30" r="E1309">
        <v>4</v>
      </c>
      <c t="s" s="30" r="F1309">
        <v>4</v>
      </c>
      <c t="s" s="30" r="G1309">
        <v>244</v>
      </c>
      <c t="str" s="12" r="H1309">
        <f>HYPERLINK("http://sofifa.com/en/fifa13winter/player/149711-alexander-bieler","A. Bieler")</f>
        <v>A. Bieler</v>
      </c>
      <c s="30" r="I1309">
        <v>62</v>
      </c>
      <c t="s" s="30" r="J1309">
        <v>128</v>
      </c>
      <c t="s" s="30" r="K1309">
        <v>173</v>
      </c>
      <c t="s" s="30" r="L1309">
        <v>183</v>
      </c>
      <c s="30" r="M1309">
        <v>19</v>
      </c>
      <c s="26" r="N1309">
        <v>0.8</v>
      </c>
      <c s="23" r="O1309">
        <v>0.003</v>
      </c>
      <c s="7" r="P1309"/>
      <c s="7" r="Q1309"/>
      <c s="7" r="R1309">
        <f>IF((P1309&gt;0),O1309,0)</f>
        <v>0</v>
      </c>
      <c t="str" r="S1309">
        <f>CONCATENATE(F1309,E1309)</f>
        <v>NON FTLNON FTL</v>
      </c>
    </row>
    <row r="1310">
      <c t="s" s="7" r="A1310">
        <v>201</v>
      </c>
      <c s="7" r="B1310">
        <v>1337</v>
      </c>
      <c s="30" r="C1310">
        <v>21</v>
      </c>
      <c t="s" s="30" r="D1310">
        <v>147</v>
      </c>
      <c t="s" s="30" r="E1310">
        <v>4</v>
      </c>
      <c t="s" s="30" r="F1310">
        <v>4</v>
      </c>
      <c t="s" s="30" r="G1310">
        <v>244</v>
      </c>
      <c t="str" s="12" r="H1310">
        <f>HYPERLINK("http://sofifa.com/en/fifa13winter/player/149219-janis-blaswich","J. Blaswich")</f>
        <v>J. Blaswich</v>
      </c>
      <c s="30" r="I1310">
        <v>60</v>
      </c>
      <c t="s" s="30" r="J1310">
        <v>106</v>
      </c>
      <c t="s" s="30" r="K1310">
        <v>107</v>
      </c>
      <c t="s" s="30" r="L1310">
        <v>175</v>
      </c>
      <c s="30" r="M1310">
        <v>21</v>
      </c>
      <c s="26" r="N1310">
        <v>0.4</v>
      </c>
      <c s="23" r="O1310">
        <v>0.003</v>
      </c>
      <c s="7" r="P1310"/>
      <c s="7" r="Q1310"/>
      <c s="7" r="R1310">
        <f>IF((P1310&gt;0),O1310,0)</f>
        <v>0</v>
      </c>
      <c t="str" r="S1310">
        <f>CONCATENATE(F1310,E1310)</f>
        <v>NON FTLNON FTL</v>
      </c>
    </row>
    <row r="1311">
      <c t="s" s="7" r="A1311">
        <v>201</v>
      </c>
      <c s="7" r="B1311">
        <v>1338</v>
      </c>
      <c s="30" r="C1311">
        <v>35</v>
      </c>
      <c t="s" s="30" r="D1311">
        <v>147</v>
      </c>
      <c t="s" s="30" r="E1311">
        <v>4</v>
      </c>
      <c t="s" s="30" r="F1311">
        <v>4</v>
      </c>
      <c t="s" s="30" r="G1311">
        <v>244</v>
      </c>
      <c t="str" s="12" r="H1311">
        <f>HYPERLINK("http://sofifa.com/en/fifa13winter/player/150575-nico-brandenburger","N. Brandenburger")</f>
        <v>N. Brandenburger</v>
      </c>
      <c s="30" r="I1311">
        <v>58</v>
      </c>
      <c t="s" s="30" r="J1311">
        <v>124</v>
      </c>
      <c t="s" s="30" r="K1311">
        <v>145</v>
      </c>
      <c t="s" s="30" r="L1311">
        <v>138</v>
      </c>
      <c s="30" r="M1311">
        <v>17</v>
      </c>
      <c s="26" r="N1311">
        <v>0.3</v>
      </c>
      <c s="23" r="O1311">
        <v>0.002</v>
      </c>
      <c s="7" r="P1311"/>
      <c s="7" r="Q1311"/>
      <c s="7" r="R1311">
        <f>IF((P1311&gt;0),O1311,0)</f>
        <v>0</v>
      </c>
      <c t="str" r="S1311">
        <f>CONCATENATE(F1311,E1311)</f>
        <v>NON FTLNON FTL</v>
      </c>
    </row>
    <row r="1312">
      <c t="s" s="7" r="A1312">
        <v>201</v>
      </c>
      <c s="7" r="B1312">
        <v>1339</v>
      </c>
      <c s="30" r="C1312">
        <v>29</v>
      </c>
      <c t="s" s="30" r="D1312">
        <v>147</v>
      </c>
      <c t="s" s="30" r="E1312">
        <v>4</v>
      </c>
      <c t="s" s="30" r="F1312">
        <v>4</v>
      </c>
      <c t="s" s="30" r="G1312">
        <v>244</v>
      </c>
      <c t="str" s="12" r="H1312">
        <f>HYPERLINK("http://sofifa.com/en/fifa13winter/player/150281-niklas-bolten","N. Bolten")</f>
        <v>N. Bolten</v>
      </c>
      <c s="30" r="I1312">
        <v>57</v>
      </c>
      <c t="s" s="30" r="J1312">
        <v>106</v>
      </c>
      <c t="s" s="30" r="K1312">
        <v>144</v>
      </c>
      <c t="s" s="30" r="L1312">
        <v>151</v>
      </c>
      <c s="30" r="M1312">
        <v>18</v>
      </c>
      <c s="26" r="N1312">
        <v>0.2</v>
      </c>
      <c s="23" r="O1312">
        <v>0.002</v>
      </c>
      <c s="7" r="P1312"/>
      <c s="7" r="Q1312"/>
      <c s="7" r="R1312">
        <f>IF((P1312&gt;0),O1312,0)</f>
        <v>0</v>
      </c>
      <c t="str" r="S1312">
        <f>CONCATENATE(F1312,E1312)</f>
        <v>NON FTLNON FTL</v>
      </c>
    </row>
    <row r="1313">
      <c t="s" s="7" r="A1313">
        <v>201</v>
      </c>
      <c s="7" r="B1313">
        <v>1340</v>
      </c>
      <c s="30" r="C1313">
        <v>22</v>
      </c>
      <c t="s" s="30" r="D1313">
        <v>106</v>
      </c>
      <c t="s" s="30" r="E1313">
        <v>4</v>
      </c>
      <c t="s" s="30" r="F1313">
        <v>4</v>
      </c>
      <c t="s" s="30" r="G1313">
        <v>245</v>
      </c>
      <c t="str" s="12" r="H1313">
        <f>HYPERLINK("http://sofifa.com/en/fifa13winter/player/148067-simon-mignolet","S. Mignolet")</f>
        <v>S. Mignolet</v>
      </c>
      <c s="30" r="I1313">
        <v>78</v>
      </c>
      <c t="s" s="30" r="J1313">
        <v>106</v>
      </c>
      <c t="s" s="30" r="K1313">
        <v>107</v>
      </c>
      <c t="s" s="30" r="L1313">
        <v>192</v>
      </c>
      <c s="30" r="M1313">
        <v>24</v>
      </c>
      <c s="26" r="N1313">
        <v>5.5</v>
      </c>
      <c s="23" r="O1313">
        <v>0.019</v>
      </c>
      <c s="7" r="P1313"/>
      <c s="7" r="Q1313"/>
      <c s="7" r="R1313">
        <f>IF((P1313&gt;0),O1313,0)</f>
        <v>0</v>
      </c>
      <c t="str" r="S1313">
        <f>CONCATENATE(F1313,E1313)</f>
        <v>NON FTLNON FTL</v>
      </c>
    </row>
    <row r="1314">
      <c t="s" s="7" r="A1314">
        <v>201</v>
      </c>
      <c s="7" r="B1314">
        <v>1341</v>
      </c>
      <c s="30" r="C1314">
        <v>8</v>
      </c>
      <c t="s" s="30" r="D1314">
        <v>109</v>
      </c>
      <c t="s" s="30" r="E1314">
        <v>4</v>
      </c>
      <c t="s" s="30" r="F1314">
        <v>4</v>
      </c>
      <c t="s" s="30" r="G1314">
        <v>245</v>
      </c>
      <c t="str" s="12" r="H1314">
        <f>HYPERLINK("http://sofifa.com/en/fifa13winter/player/147600-craig-gardner","C. Gardner")</f>
        <v>C. Gardner</v>
      </c>
      <c s="30" r="I1314">
        <v>74</v>
      </c>
      <c t="s" s="30" r="J1314">
        <v>109</v>
      </c>
      <c t="s" s="30" r="K1314">
        <v>118</v>
      </c>
      <c t="s" s="30" r="L1314">
        <v>137</v>
      </c>
      <c s="30" r="M1314">
        <v>25</v>
      </c>
      <c s="26" r="N1314">
        <v>3.4</v>
      </c>
      <c s="23" r="O1314">
        <v>0.011</v>
      </c>
      <c s="7" r="P1314"/>
      <c s="7" r="Q1314"/>
      <c s="7" r="R1314">
        <f>IF((P1314&gt;0),O1314,0)</f>
        <v>0</v>
      </c>
      <c t="str" r="S1314">
        <f>CONCATENATE(F1314,E1314)</f>
        <v>NON FTLNON FTL</v>
      </c>
    </row>
    <row r="1315">
      <c t="s" s="7" r="A1315">
        <v>201</v>
      </c>
      <c s="7" r="B1315">
        <v>1342</v>
      </c>
      <c s="30" r="C1315">
        <v>16</v>
      </c>
      <c t="s" s="30" r="D1315">
        <v>112</v>
      </c>
      <c t="s" s="30" r="E1315">
        <v>4</v>
      </c>
      <c t="s" s="30" r="F1315">
        <v>4</v>
      </c>
      <c t="s" s="30" r="G1315">
        <v>245</v>
      </c>
      <c t="str" s="12" r="H1315">
        <f>HYPERLINK("http://sofifa.com/en/fifa13winter/player/145565-john-oshea","J. O'Shea")</f>
        <v>J. O'Shea</v>
      </c>
      <c s="30" r="I1315">
        <v>75</v>
      </c>
      <c t="s" s="30" r="J1315">
        <v>113</v>
      </c>
      <c t="s" s="30" r="K1315">
        <v>144</v>
      </c>
      <c t="s" s="30" r="L1315">
        <v>151</v>
      </c>
      <c s="30" r="M1315">
        <v>31</v>
      </c>
      <c s="26" r="N1315">
        <v>3.3</v>
      </c>
      <c s="23" r="O1315">
        <v>0.015</v>
      </c>
      <c s="7" r="P1315"/>
      <c s="7" r="Q1315"/>
      <c s="7" r="R1315">
        <f>IF((P1315&gt;0),O1315,0)</f>
        <v>0</v>
      </c>
      <c t="str" r="S1315">
        <f>CONCATENATE(F1315,E1315)</f>
        <v>NON FTLNON FTL</v>
      </c>
    </row>
    <row r="1316">
      <c t="s" s="7" r="A1316">
        <v>201</v>
      </c>
      <c s="7" r="B1316">
        <v>1343</v>
      </c>
      <c s="30" r="C1316">
        <v>24</v>
      </c>
      <c t="s" s="30" r="D1316">
        <v>116</v>
      </c>
      <c t="s" s="30" r="E1316">
        <v>4</v>
      </c>
      <c t="s" s="30" r="F1316">
        <v>4</v>
      </c>
      <c t="s" s="30" r="G1316">
        <v>245</v>
      </c>
      <c t="str" s="12" r="H1316">
        <f>HYPERLINK("http://sofifa.com/en/fifa13winter/player/145680-carlos-javier-cuellar-jimenez","Carlos Cuéllar")</f>
        <v>Carlos Cuéllar</v>
      </c>
      <c s="30" r="I1316">
        <v>74</v>
      </c>
      <c t="s" s="30" r="J1316">
        <v>113</v>
      </c>
      <c t="s" s="30" r="K1316">
        <v>152</v>
      </c>
      <c t="s" s="30" r="L1316">
        <v>156</v>
      </c>
      <c s="30" r="M1316">
        <v>31</v>
      </c>
      <c s="26" r="N1316">
        <v>2.7</v>
      </c>
      <c s="23" r="O1316">
        <v>0.012</v>
      </c>
      <c s="7" r="P1316"/>
      <c s="7" r="Q1316"/>
      <c s="7" r="R1316">
        <f>IF((P1316&gt;0),O1316,0)</f>
        <v>0</v>
      </c>
      <c t="str" r="S1316">
        <f>CONCATENATE(F1316,E1316)</f>
        <v>NON FTLNON FTL</v>
      </c>
    </row>
    <row r="1317">
      <c t="s" s="7" r="A1317">
        <v>201</v>
      </c>
      <c s="7" r="B1317">
        <v>1344</v>
      </c>
      <c s="30" r="C1317">
        <v>14</v>
      </c>
      <c t="s" s="30" r="D1317">
        <v>117</v>
      </c>
      <c t="s" s="30" r="E1317">
        <v>4</v>
      </c>
      <c t="s" s="30" r="F1317">
        <v>4</v>
      </c>
      <c t="s" s="30" r="G1317">
        <v>245</v>
      </c>
      <c t="str" s="12" r="H1317">
        <f>HYPERLINK("http://sofifa.com/en/fifa13winter/player/148664-jack-colback","J. Colback")</f>
        <v>J. Colback</v>
      </c>
      <c s="30" r="I1317">
        <v>71</v>
      </c>
      <c t="s" s="30" r="J1317">
        <v>117</v>
      </c>
      <c t="s" s="30" r="K1317">
        <v>172</v>
      </c>
      <c t="s" s="30" r="L1317">
        <v>122</v>
      </c>
      <c s="30" r="M1317">
        <v>22</v>
      </c>
      <c s="26" r="N1317">
        <v>2.2</v>
      </c>
      <c s="23" r="O1317">
        <v>0.007</v>
      </c>
      <c s="7" r="P1317"/>
      <c s="7" r="Q1317"/>
      <c s="7" r="R1317">
        <f>IF((P1317&gt;0),O1317,0)</f>
        <v>0</v>
      </c>
      <c t="str" r="S1317">
        <f>CONCATENATE(F1317,E1317)</f>
        <v>NON FTLNON FTL</v>
      </c>
    </row>
    <row r="1318">
      <c t="s" s="7" r="A1318">
        <v>201</v>
      </c>
      <c s="7" r="B1318">
        <v>1345</v>
      </c>
      <c s="30" r="C1318">
        <v>21</v>
      </c>
      <c t="s" s="30" r="D1318">
        <v>120</v>
      </c>
      <c t="s" s="30" r="E1318">
        <v>4</v>
      </c>
      <c t="s" s="30" r="F1318">
        <v>4</v>
      </c>
      <c t="s" s="30" r="G1318">
        <v>245</v>
      </c>
      <c t="str" s="12" r="H1318">
        <f>HYPERLINK("http://sofifa.com/en/fifa13winter/player/147831-adam-johnson","A. Johnson")</f>
        <v>A. Johnson</v>
      </c>
      <c s="30" r="I1318">
        <v>79</v>
      </c>
      <c t="s" s="30" r="J1318">
        <v>120</v>
      </c>
      <c t="s" s="30" r="K1318">
        <v>139</v>
      </c>
      <c t="s" s="30" r="L1318">
        <v>125</v>
      </c>
      <c s="30" r="M1318">
        <v>25</v>
      </c>
      <c s="26" r="N1318">
        <v>8.2</v>
      </c>
      <c s="23" r="O1318">
        <v>0.022</v>
      </c>
      <c s="7" r="P1318"/>
      <c s="7" r="Q1318"/>
      <c s="7" r="R1318">
        <f>IF((P1318&gt;0),O1318,0)</f>
        <v>0</v>
      </c>
      <c t="str" r="S1318">
        <f>CONCATENATE(F1318,E1318)</f>
        <v>NON FTLNON FTL</v>
      </c>
    </row>
    <row r="1319">
      <c t="s" s="7" r="A1319">
        <v>201</v>
      </c>
      <c s="7" r="B1319">
        <v>1346</v>
      </c>
      <c s="30" r="C1319">
        <v>7</v>
      </c>
      <c t="s" s="30" r="D1319">
        <v>123</v>
      </c>
      <c t="s" s="30" r="E1319">
        <v>4</v>
      </c>
      <c t="s" s="30" r="F1319">
        <v>4</v>
      </c>
      <c t="s" s="30" r="G1319">
        <v>245</v>
      </c>
      <c t="str" s="12" r="H1319">
        <f>HYPERLINK("http://sofifa.com/en/fifa13winter/player/147063-sebastian-larsson","S. Larsson")</f>
        <v>S. Larsson</v>
      </c>
      <c s="30" r="I1319">
        <v>74</v>
      </c>
      <c t="s" s="30" r="J1319">
        <v>120</v>
      </c>
      <c t="s" s="30" r="K1319">
        <v>118</v>
      </c>
      <c t="s" s="30" r="L1319">
        <v>122</v>
      </c>
      <c s="30" r="M1319">
        <v>27</v>
      </c>
      <c s="26" r="N1319">
        <v>3.9</v>
      </c>
      <c s="23" r="O1319">
        <v>0.011</v>
      </c>
      <c s="7" r="P1319"/>
      <c s="7" r="Q1319"/>
      <c s="7" r="R1319">
        <f>IF((P1319&gt;0),O1319,0)</f>
        <v>0</v>
      </c>
      <c t="str" r="S1319">
        <f>CONCATENATE(F1319,E1319)</f>
        <v>NON FTLNON FTL</v>
      </c>
    </row>
    <row r="1320">
      <c t="s" s="7" r="A1320">
        <v>201</v>
      </c>
      <c s="7" r="B1320">
        <v>1347</v>
      </c>
      <c s="30" r="C1320">
        <v>4</v>
      </c>
      <c t="s" s="30" r="D1320">
        <v>126</v>
      </c>
      <c t="s" s="30" r="E1320">
        <v>4</v>
      </c>
      <c t="s" s="30" r="F1320">
        <v>4</v>
      </c>
      <c t="s" s="30" r="G1320">
        <v>245</v>
      </c>
      <c t="str" s="12" r="H1320">
        <f>HYPERLINK("http://sofifa.com/en/fifa13winter/player/148797-alfred-ndiaye","A. N'Diaye")</f>
        <v>A. N'Diaye</v>
      </c>
      <c s="30" r="I1320">
        <v>69</v>
      </c>
      <c t="s" s="30" r="J1320">
        <v>154</v>
      </c>
      <c t="s" s="30" r="K1320">
        <v>173</v>
      </c>
      <c t="s" s="30" r="L1320">
        <v>153</v>
      </c>
      <c s="30" r="M1320">
        <v>22</v>
      </c>
      <c s="26" r="N1320">
        <v>1.7</v>
      </c>
      <c s="23" r="O1320">
        <v>0.006</v>
      </c>
      <c s="7" r="P1320"/>
      <c s="7" r="Q1320"/>
      <c s="7" r="R1320">
        <f>IF((P1320&gt;0),O1320,0)</f>
        <v>0</v>
      </c>
      <c t="str" r="S1320">
        <f>CONCATENATE(F1320,E1320)</f>
        <v>NON FTLNON FTL</v>
      </c>
    </row>
    <row r="1321">
      <c t="s" s="7" r="A1321">
        <v>201</v>
      </c>
      <c s="7" r="B1321">
        <v>1348</v>
      </c>
      <c s="30" r="C1321">
        <v>23</v>
      </c>
      <c t="s" s="30" r="D1321">
        <v>128</v>
      </c>
      <c t="s" s="30" r="E1321">
        <v>4</v>
      </c>
      <c t="s" s="30" r="F1321">
        <v>4</v>
      </c>
      <c t="s" s="30" r="G1321">
        <v>245</v>
      </c>
      <c t="str" s="12" r="H1321">
        <f>HYPERLINK("http://sofifa.com/en/fifa13winter/player/148479-james-mcclean","J. McClean")</f>
        <v>J. McClean</v>
      </c>
      <c s="30" r="I1321">
        <v>74</v>
      </c>
      <c t="s" s="30" r="J1321">
        <v>128</v>
      </c>
      <c t="s" s="30" r="K1321">
        <v>114</v>
      </c>
      <c t="s" s="30" r="L1321">
        <v>122</v>
      </c>
      <c s="30" r="M1321">
        <v>23</v>
      </c>
      <c s="26" r="N1321">
        <v>3.7</v>
      </c>
      <c s="23" r="O1321">
        <v>0.01</v>
      </c>
      <c s="7" r="P1321"/>
      <c s="7" r="Q1321"/>
      <c s="7" r="R1321">
        <f>IF((P1321&gt;0),O1321,0)</f>
        <v>0</v>
      </c>
      <c t="str" r="S1321">
        <f>CONCATENATE(F1321,E1321)</f>
        <v>NON FTLNON FTL</v>
      </c>
    </row>
    <row r="1322">
      <c t="s" s="7" r="A1322">
        <v>201</v>
      </c>
      <c s="7" r="B1322">
        <v>1349</v>
      </c>
      <c s="30" r="C1322">
        <v>28</v>
      </c>
      <c t="s" s="30" r="D1322">
        <v>162</v>
      </c>
      <c t="s" s="30" r="E1322">
        <v>4</v>
      </c>
      <c t="s" s="30" r="F1322">
        <v>4</v>
      </c>
      <c t="s" s="30" r="G1322">
        <v>245</v>
      </c>
      <c t="str" s="12" r="H1322">
        <f>HYPERLINK("http://sofifa.com/en/fifa13winter/player/146693-stephane-sessegnon","S. Sessègnon")</f>
        <v>S. Sessègnon</v>
      </c>
      <c s="30" r="I1322">
        <v>81</v>
      </c>
      <c t="s" s="30" r="J1322">
        <v>162</v>
      </c>
      <c t="s" s="30" r="K1322">
        <v>187</v>
      </c>
      <c t="s" s="30" r="L1322">
        <v>146</v>
      </c>
      <c s="30" r="M1322">
        <v>28</v>
      </c>
      <c s="26" r="N1322">
        <v>12.5</v>
      </c>
      <c s="23" r="O1322">
        <v>0.042</v>
      </c>
      <c s="7" r="P1322"/>
      <c s="7" r="Q1322"/>
      <c s="7" r="R1322">
        <f>IF((P1322&gt;0),O1322,0)</f>
        <v>0</v>
      </c>
      <c t="str" r="S1322">
        <f>CONCATENATE(F1322,E1322)</f>
        <v>NON FTLNON FTL</v>
      </c>
    </row>
    <row r="1323">
      <c t="s" s="7" r="A1323">
        <v>201</v>
      </c>
      <c s="7" r="B1323">
        <v>1350</v>
      </c>
      <c s="30" r="C1323">
        <v>9</v>
      </c>
      <c t="s" s="30" r="D1323">
        <v>129</v>
      </c>
      <c t="s" s="30" r="E1323">
        <v>4</v>
      </c>
      <c t="s" s="30" r="F1323">
        <v>4</v>
      </c>
      <c t="s" s="30" r="G1323">
        <v>245</v>
      </c>
      <c t="str" s="12" r="H1323">
        <f>HYPERLINK("http://sofifa.com/en/fifa13winter/player/147130-danny-graham","D. Graham")</f>
        <v>D. Graham</v>
      </c>
      <c s="30" r="I1323">
        <v>74</v>
      </c>
      <c t="s" s="30" r="J1323">
        <v>129</v>
      </c>
      <c t="s" s="30" r="K1323">
        <v>110</v>
      </c>
      <c t="s" s="30" r="L1323">
        <v>192</v>
      </c>
      <c s="30" r="M1323">
        <v>27</v>
      </c>
      <c s="26" r="N1323">
        <v>3.9</v>
      </c>
      <c s="23" r="O1323">
        <v>0.011</v>
      </c>
      <c s="7" r="P1323"/>
      <c s="7" r="Q1323"/>
      <c s="7" r="R1323">
        <f>IF((P1323&gt;0),O1323,0)</f>
        <v>0</v>
      </c>
      <c t="str" r="S1323">
        <f>CONCATENATE(F1323,E1323)</f>
        <v>NON FTLNON FTL</v>
      </c>
    </row>
    <row r="1324">
      <c t="s" s="7" r="A1324">
        <v>201</v>
      </c>
      <c s="7" r="B1324">
        <v>1351</v>
      </c>
      <c s="30" r="C1324">
        <v>34</v>
      </c>
      <c t="s" s="30" r="D1324">
        <v>136</v>
      </c>
      <c t="s" s="30" r="E1324">
        <v>4</v>
      </c>
      <c t="s" s="30" r="F1324">
        <v>4</v>
      </c>
      <c t="s" s="30" r="G1324">
        <v>245</v>
      </c>
      <c t="str" s="12" r="H1324">
        <f>HYPERLINK("http://sofifa.com/en/fifa13winter/player/149795-billy-knott","B. Knott")</f>
        <v>B. Knott</v>
      </c>
      <c s="30" r="I1324">
        <v>62</v>
      </c>
      <c t="s" s="30" r="J1324">
        <v>128</v>
      </c>
      <c t="s" s="30" r="K1324">
        <v>130</v>
      </c>
      <c t="s" s="30" r="L1324">
        <v>142</v>
      </c>
      <c s="30" r="M1324">
        <v>19</v>
      </c>
      <c s="26" r="N1324">
        <v>0.8</v>
      </c>
      <c s="23" r="O1324">
        <v>0.003</v>
      </c>
      <c s="7" r="P1324"/>
      <c s="7" r="Q1324"/>
      <c s="7" r="R1324">
        <f>IF((P1324&gt;0),O1324,0)</f>
        <v>0</v>
      </c>
      <c t="str" r="S1324">
        <f>CONCATENATE(F1324,E1324)</f>
        <v>NON FTLNON FTL</v>
      </c>
    </row>
    <row r="1325">
      <c t="s" s="7" r="A1325">
        <v>201</v>
      </c>
      <c s="7" r="B1325">
        <v>1352</v>
      </c>
      <c s="30" r="C1325">
        <v>10</v>
      </c>
      <c t="s" s="30" r="D1325">
        <v>136</v>
      </c>
      <c t="s" s="30" r="E1325">
        <v>4</v>
      </c>
      <c t="s" s="30" r="F1325">
        <v>4</v>
      </c>
      <c t="s" s="30" r="G1325">
        <v>245</v>
      </c>
      <c t="str" s="12" r="H1325">
        <f>HYPERLINK("http://sofifa.com/en/fifa13winter/player/149918-connor-wickham","C. Wickham")</f>
        <v>C. Wickham</v>
      </c>
      <c s="30" r="I1325">
        <v>69</v>
      </c>
      <c t="s" s="30" r="J1325">
        <v>129</v>
      </c>
      <c t="s" s="30" r="K1325">
        <v>169</v>
      </c>
      <c t="s" s="30" r="L1325">
        <v>178</v>
      </c>
      <c s="30" r="M1325">
        <v>19</v>
      </c>
      <c s="26" r="N1325">
        <v>2.4</v>
      </c>
      <c s="23" r="O1325">
        <v>0.005</v>
      </c>
      <c s="7" r="P1325"/>
      <c s="7" r="Q1325"/>
      <c s="7" r="R1325">
        <f>IF((P1325&gt;0),O1325,0)</f>
        <v>0</v>
      </c>
      <c t="str" r="S1325">
        <f>CONCATENATE(F1325,E1325)</f>
        <v>NON FTLNON FTL</v>
      </c>
    </row>
    <row r="1326">
      <c t="s" s="7" r="A1326">
        <v>201</v>
      </c>
      <c s="7" r="B1326">
        <v>1353</v>
      </c>
      <c s="30" r="C1326">
        <v>30</v>
      </c>
      <c t="s" s="30" r="D1326">
        <v>136</v>
      </c>
      <c t="s" s="30" r="E1326">
        <v>4</v>
      </c>
      <c t="s" s="30" r="F1326">
        <v>4</v>
      </c>
      <c t="s" s="30" r="G1326">
        <v>245</v>
      </c>
      <c t="str" s="12" r="H1326">
        <f>HYPERLINK("http://sofifa.com/en/fifa13winter/player/150477-mikael-mandron","M. Mandron")</f>
        <v>M. Mandron</v>
      </c>
      <c s="30" r="I1326">
        <v>60</v>
      </c>
      <c t="s" s="30" r="J1326">
        <v>129</v>
      </c>
      <c t="s" s="30" r="K1326">
        <v>144</v>
      </c>
      <c t="s" s="30" r="L1326">
        <v>160</v>
      </c>
      <c s="30" r="M1326">
        <v>17</v>
      </c>
      <c s="26" r="N1326">
        <v>0.7</v>
      </c>
      <c s="23" r="O1326">
        <v>0.002</v>
      </c>
      <c s="7" r="P1326"/>
      <c s="7" r="Q1326"/>
      <c s="7" r="R1326">
        <f>IF((P1326&gt;0),O1326,0)</f>
        <v>0</v>
      </c>
      <c t="str" r="S1326">
        <f>CONCATENATE(F1326,E1326)</f>
        <v>NON FTLNON FTL</v>
      </c>
    </row>
    <row r="1327">
      <c t="s" s="7" r="A1327">
        <v>201</v>
      </c>
      <c s="7" r="B1327">
        <v>1354</v>
      </c>
      <c s="30" r="C1327">
        <v>29</v>
      </c>
      <c t="s" s="30" r="D1327">
        <v>136</v>
      </c>
      <c t="s" s="30" r="E1327">
        <v>4</v>
      </c>
      <c t="s" s="30" r="F1327">
        <v>4</v>
      </c>
      <c t="s" s="30" r="G1327">
        <v>245</v>
      </c>
      <c t="str" s="12" r="H1327">
        <f>HYPERLINK("http://sofifa.com/en/fifa13winter/player/149793-liam-marrs","L. Marrs")</f>
        <v>L. Marrs</v>
      </c>
      <c s="30" r="I1327">
        <v>61</v>
      </c>
      <c t="s" s="30" r="J1327">
        <v>109</v>
      </c>
      <c t="s" s="30" r="K1327">
        <v>139</v>
      </c>
      <c t="s" s="30" r="L1327">
        <v>146</v>
      </c>
      <c s="30" r="M1327">
        <v>19</v>
      </c>
      <c s="26" r="N1327">
        <v>0.6</v>
      </c>
      <c s="23" r="O1327">
        <v>0.003</v>
      </c>
      <c s="7" r="P1327"/>
      <c s="7" r="Q1327"/>
      <c s="7" r="R1327">
        <f>IF((P1327&gt;0),O1327,0)</f>
        <v>0</v>
      </c>
      <c t="str" r="S1327">
        <f>CONCATENATE(F1327,E1327)</f>
        <v>NON FTLNON FTL</v>
      </c>
    </row>
    <row r="1328">
      <c t="s" s="7" r="A1328">
        <v>201</v>
      </c>
      <c s="7" r="B1328">
        <v>1355</v>
      </c>
      <c s="30" r="C1328">
        <v>15</v>
      </c>
      <c t="s" s="30" r="D1328">
        <v>136</v>
      </c>
      <c t="s" s="30" r="E1328">
        <v>4</v>
      </c>
      <c t="s" s="30" r="F1328">
        <v>4</v>
      </c>
      <c t="s" s="30" r="G1328">
        <v>245</v>
      </c>
      <c t="str" s="12" r="H1328">
        <f>HYPERLINK("http://sofifa.com/en/fifa13winter/player/146224-david-vaughan","D. Vaughan")</f>
        <v>D. Vaughan</v>
      </c>
      <c s="30" r="I1328">
        <v>73</v>
      </c>
      <c t="s" s="30" r="J1328">
        <v>124</v>
      </c>
      <c t="s" s="30" r="K1328">
        <v>121</v>
      </c>
      <c t="s" s="30" r="L1328">
        <v>125</v>
      </c>
      <c s="30" r="M1328">
        <v>29</v>
      </c>
      <c s="26" r="N1328">
        <v>2.7</v>
      </c>
      <c s="23" r="O1328">
        <v>0.011</v>
      </c>
      <c s="7" r="P1328"/>
      <c s="7" r="Q1328"/>
      <c s="7" r="R1328">
        <f>IF((P1328&gt;0),O1328,0)</f>
        <v>0</v>
      </c>
      <c t="str" r="S1328">
        <f>CONCATENATE(F1328,E1328)</f>
        <v>NON FTLNON FTL</v>
      </c>
    </row>
    <row r="1329">
      <c t="s" s="7" r="A1329">
        <v>201</v>
      </c>
      <c s="7" r="B1329">
        <v>1356</v>
      </c>
      <c s="30" r="C1329">
        <v>32</v>
      </c>
      <c t="s" s="30" r="D1329">
        <v>136</v>
      </c>
      <c t="s" s="30" r="E1329">
        <v>4</v>
      </c>
      <c t="s" s="30" r="F1329">
        <v>4</v>
      </c>
      <c t="s" s="30" r="G1329">
        <v>245</v>
      </c>
      <c t="str" s="12" r="H1329">
        <f>HYPERLINK("http://sofifa.com/en/fifa13winter/player/150269-jordan-laidler","J. Laidler")</f>
        <v>J. Laidler</v>
      </c>
      <c s="30" r="I1329">
        <v>58</v>
      </c>
      <c t="s" s="30" r="J1329">
        <v>129</v>
      </c>
      <c t="s" s="30" r="K1329">
        <v>118</v>
      </c>
      <c t="s" s="30" r="L1329">
        <v>137</v>
      </c>
      <c s="30" r="M1329">
        <v>18</v>
      </c>
      <c s="26" r="N1329">
        <v>0.4</v>
      </c>
      <c s="23" r="O1329">
        <v>0.002</v>
      </c>
      <c s="7" r="P1329"/>
      <c s="7" r="Q1329"/>
      <c s="7" r="R1329">
        <f>IF((P1329&gt;0),O1329,0)</f>
        <v>0</v>
      </c>
      <c t="str" r="S1329">
        <f>CONCATENATE(F1329,E1329)</f>
        <v>NON FTLNON FTL</v>
      </c>
    </row>
    <row r="1330">
      <c t="s" s="7" r="A1330">
        <v>201</v>
      </c>
      <c s="7" r="B1330">
        <v>1357</v>
      </c>
      <c s="30" r="C1330">
        <v>20</v>
      </c>
      <c t="s" s="30" r="D1330">
        <v>136</v>
      </c>
      <c t="s" s="30" r="E1330">
        <v>4</v>
      </c>
      <c t="s" s="30" r="F1330">
        <v>4</v>
      </c>
      <c t="s" s="30" r="G1330">
        <v>245</v>
      </c>
      <c t="str" s="12" r="H1330">
        <f>HYPERLINK("http://sofifa.com/en/fifa13winter/player/146837-keiren-westwood","K. Westwood")</f>
        <v>K. Westwood</v>
      </c>
      <c s="30" r="I1330">
        <v>74</v>
      </c>
      <c t="s" s="30" r="J1330">
        <v>106</v>
      </c>
      <c t="s" s="30" r="K1330">
        <v>134</v>
      </c>
      <c t="s" s="30" r="L1330">
        <v>180</v>
      </c>
      <c s="30" r="M1330">
        <v>27</v>
      </c>
      <c s="26" r="N1330">
        <v>2.7</v>
      </c>
      <c s="23" r="O1330">
        <v>0.011</v>
      </c>
      <c s="7" r="P1330"/>
      <c s="7" r="Q1330"/>
      <c s="7" r="R1330">
        <f>IF((P1330&gt;0),O1330,0)</f>
        <v>0</v>
      </c>
      <c t="str" r="S1330">
        <f>CONCATENATE(F1330,E1330)</f>
        <v>NON FTLNON FTL</v>
      </c>
    </row>
    <row r="1331">
      <c t="s" s="7" r="A1331">
        <v>201</v>
      </c>
      <c s="7" r="B1331">
        <v>1358</v>
      </c>
      <c s="30" r="C1331">
        <v>18</v>
      </c>
      <c t="s" s="30" r="D1331">
        <v>136</v>
      </c>
      <c t="s" s="30" r="E1331">
        <v>4</v>
      </c>
      <c t="s" s="30" r="F1331">
        <v>4</v>
      </c>
      <c t="s" s="30" r="G1331">
        <v>245</v>
      </c>
      <c t="str" s="12" r="H1331">
        <f>HYPERLINK("http://sofifa.com/en/fifa13winter/player/146257-kader-mangane","K. Mangane")</f>
        <v>K. Mangane</v>
      </c>
      <c s="30" r="I1331">
        <v>74</v>
      </c>
      <c t="s" s="30" r="J1331">
        <v>113</v>
      </c>
      <c t="s" s="30" r="K1331">
        <v>198</v>
      </c>
      <c t="s" s="30" r="L1331">
        <v>178</v>
      </c>
      <c s="30" r="M1331">
        <v>29</v>
      </c>
      <c s="26" r="N1331">
        <v>3.5</v>
      </c>
      <c s="23" r="O1331">
        <v>0.012</v>
      </c>
      <c s="7" r="P1331"/>
      <c s="7" r="Q1331"/>
      <c s="7" r="R1331">
        <f>IF((P1331&gt;0),O1331,0)</f>
        <v>0</v>
      </c>
      <c t="str" r="S1331">
        <f>CONCATENATE(F1331,E1331)</f>
        <v>NON FTLNON FTL</v>
      </c>
    </row>
    <row r="1332">
      <c t="s" s="7" r="A1332">
        <v>201</v>
      </c>
      <c s="7" r="B1332">
        <v>1359</v>
      </c>
      <c s="30" r="C1332">
        <v>5</v>
      </c>
      <c t="s" s="30" r="D1332">
        <v>136</v>
      </c>
      <c t="s" s="30" r="E1332">
        <v>4</v>
      </c>
      <c t="s" s="30" r="F1332">
        <v>4</v>
      </c>
      <c t="s" s="30" r="G1332">
        <v>245</v>
      </c>
      <c t="str" s="12" r="H1332">
        <f>HYPERLINK("http://sofifa.com/en/fifa13winter/player/145000-wes-brown","W. Brown")</f>
        <v>W. Brown</v>
      </c>
      <c s="30" r="I1332">
        <v>76</v>
      </c>
      <c t="s" s="30" r="J1332">
        <v>113</v>
      </c>
      <c t="s" s="30" r="K1332">
        <v>132</v>
      </c>
      <c t="s" s="30" r="L1332">
        <v>138</v>
      </c>
      <c s="30" r="M1332">
        <v>32</v>
      </c>
      <c s="26" r="N1332">
        <v>3.6</v>
      </c>
      <c s="23" r="O1332">
        <v>0.018</v>
      </c>
      <c s="7" r="P1332"/>
      <c s="7" r="Q1332"/>
      <c s="7" r="R1332">
        <f>IF((P1332&gt;0),O1332,0)</f>
        <v>0</v>
      </c>
      <c t="str" r="S1332">
        <f>CONCATENATE(F1332,E1332)</f>
        <v>NON FTLNON FTL</v>
      </c>
    </row>
    <row r="1333">
      <c t="s" s="7" r="A1333">
        <v>201</v>
      </c>
      <c s="7" r="B1333">
        <v>1360</v>
      </c>
      <c s="30" r="C1333">
        <v>2</v>
      </c>
      <c t="s" s="30" r="D1333">
        <v>136</v>
      </c>
      <c t="s" s="30" r="E1333">
        <v>4</v>
      </c>
      <c t="s" s="30" r="F1333">
        <v>4</v>
      </c>
      <c t="s" s="30" r="G1333">
        <v>245</v>
      </c>
      <c t="str" s="12" r="H1333">
        <f>HYPERLINK("http://sofifa.com/en/fifa13winter/player/147085-phil-bardsley","P. Bardsley")</f>
        <v>P. Bardsley</v>
      </c>
      <c s="30" r="I1333">
        <v>73</v>
      </c>
      <c t="s" s="30" r="J1333">
        <v>109</v>
      </c>
      <c t="s" s="30" r="K1333">
        <v>114</v>
      </c>
      <c t="s" s="30" r="L1333">
        <v>160</v>
      </c>
      <c s="30" r="M1333">
        <v>27</v>
      </c>
      <c s="26" r="N1333">
        <v>2.7</v>
      </c>
      <c s="23" r="O1333">
        <v>0.01</v>
      </c>
      <c s="7" r="P1333"/>
      <c s="7" r="Q1333"/>
      <c s="7" r="R1333">
        <f>IF((P1333&gt;0),O1333,0)</f>
        <v>0</v>
      </c>
      <c t="str" r="S1333">
        <f>CONCATENATE(F1333,E1333)</f>
        <v>NON FTLNON FTL</v>
      </c>
    </row>
    <row r="1334">
      <c t="s" s="7" r="A1334">
        <v>201</v>
      </c>
      <c s="7" r="B1334">
        <v>1361</v>
      </c>
      <c s="30" r="C1334">
        <v>26</v>
      </c>
      <c t="s" s="30" r="D1334">
        <v>136</v>
      </c>
      <c t="s" s="30" r="E1334">
        <v>4</v>
      </c>
      <c t="s" s="30" r="F1334">
        <v>4</v>
      </c>
      <c t="s" s="30" r="G1334">
        <v>245</v>
      </c>
      <c t="str" s="12" r="H1334">
        <f>HYPERLINK("http://sofifa.com/en/fifa13winter/player/147721-steven-fletcher","S. Fletcher")</f>
        <v>S. Fletcher</v>
      </c>
      <c s="30" r="I1334">
        <v>76</v>
      </c>
      <c t="s" s="30" r="J1334">
        <v>129</v>
      </c>
      <c t="s" s="30" r="K1334">
        <v>173</v>
      </c>
      <c t="s" s="30" r="L1334">
        <v>137</v>
      </c>
      <c s="30" r="M1334">
        <v>25</v>
      </c>
      <c s="26" r="N1334">
        <v>5.9</v>
      </c>
      <c s="23" r="O1334">
        <v>0.015</v>
      </c>
      <c s="7" r="P1334"/>
      <c s="7" r="Q1334"/>
      <c s="7" r="R1334">
        <f>IF((P1334&gt;0),O1334,0)</f>
        <v>0</v>
      </c>
      <c t="str" r="S1334">
        <f>CONCATENATE(F1334,E1334)</f>
        <v>NON FTLNON FTL</v>
      </c>
    </row>
    <row r="1335">
      <c t="s" s="7" r="A1335">
        <v>201</v>
      </c>
      <c s="7" r="B1335">
        <v>1362</v>
      </c>
      <c s="30" r="C1335">
        <v>6</v>
      </c>
      <c t="s" s="30" r="D1335">
        <v>136</v>
      </c>
      <c t="s" s="30" r="E1335">
        <v>4</v>
      </c>
      <c t="s" s="30" r="F1335">
        <v>4</v>
      </c>
      <c t="s" s="30" r="G1335">
        <v>245</v>
      </c>
      <c t="str" s="12" r="H1335">
        <f>HYPERLINK("http://sofifa.com/en/fifa13winter/player/148082-lee-cattermole","L. Cattermole")</f>
        <v>L. Cattermole</v>
      </c>
      <c s="30" r="I1335">
        <v>76</v>
      </c>
      <c t="s" s="30" r="J1335">
        <v>154</v>
      </c>
      <c t="s" s="30" r="K1335">
        <v>118</v>
      </c>
      <c t="s" s="30" r="L1335">
        <v>137</v>
      </c>
      <c s="30" r="M1335">
        <v>24</v>
      </c>
      <c s="26" r="N1335">
        <v>4.7</v>
      </c>
      <c s="23" r="O1335">
        <v>0.015</v>
      </c>
      <c s="7" r="P1335"/>
      <c s="7" r="Q1335"/>
      <c s="7" r="R1335">
        <f>IF((P1335&gt;0),O1335,0)</f>
        <v>0</v>
      </c>
      <c t="str" r="S1335">
        <f>CONCATENATE(F1335,E1335)</f>
        <v>NON FTLNON FTL</v>
      </c>
    </row>
    <row r="1336">
      <c t="s" s="7" r="A1336">
        <v>201</v>
      </c>
      <c s="7" r="B1336">
        <v>1363</v>
      </c>
      <c s="30" r="C1336">
        <v>36</v>
      </c>
      <c t="s" s="30" r="D1336">
        <v>147</v>
      </c>
      <c t="s" s="30" r="E1336">
        <v>4</v>
      </c>
      <c t="s" s="30" r="F1336">
        <v>4</v>
      </c>
      <c t="s" s="30" r="G1336">
        <v>245</v>
      </c>
      <c t="str" s="12" r="H1336">
        <f>HYPERLINK("http://sofifa.com/en/fifa13winter/player/150490-scott-harrison","S. Harrison")</f>
        <v>S. Harrison</v>
      </c>
      <c s="30" r="I1336">
        <v>57</v>
      </c>
      <c t="s" s="30" r="J1336">
        <v>113</v>
      </c>
      <c t="s" s="30" r="K1336">
        <v>110</v>
      </c>
      <c t="s" s="30" r="L1336">
        <v>161</v>
      </c>
      <c s="30" r="M1336">
        <v>17</v>
      </c>
      <c s="26" r="N1336">
        <v>0.2</v>
      </c>
      <c s="23" r="O1336">
        <v>0.002</v>
      </c>
      <c s="7" r="P1336"/>
      <c s="7" r="Q1336"/>
      <c s="7" r="R1336">
        <f>IF((P1336&gt;0),O1336,0)</f>
        <v>0</v>
      </c>
      <c t="str" r="S1336">
        <f>CONCATENATE(F1336,E1336)</f>
        <v>NON FTLNON FTL</v>
      </c>
    </row>
    <row r="1337">
      <c t="s" s="7" r="A1337">
        <v>201</v>
      </c>
      <c s="7" r="B1337">
        <v>1364</v>
      </c>
      <c s="30" r="C1337">
        <v>37</v>
      </c>
      <c t="s" s="30" r="D1337">
        <v>147</v>
      </c>
      <c t="s" s="30" r="E1337">
        <v>4</v>
      </c>
      <c t="s" s="30" r="F1337">
        <v>4</v>
      </c>
      <c t="s" s="30" r="G1337">
        <v>245</v>
      </c>
      <c t="str" s="12" r="H1337">
        <f>HYPERLINK("http://sofifa.com/en/fifa13winter/player/150119-adam-mitchell","A. Mitchell")</f>
        <v>A. Mitchell</v>
      </c>
      <c s="30" r="I1337">
        <v>59</v>
      </c>
      <c t="s" s="30" r="J1337">
        <v>120</v>
      </c>
      <c t="s" s="30" r="K1337">
        <v>130</v>
      </c>
      <c t="s" s="30" r="L1337">
        <v>119</v>
      </c>
      <c s="30" r="M1337">
        <v>18</v>
      </c>
      <c s="26" r="N1337">
        <v>0.5</v>
      </c>
      <c s="23" r="O1337">
        <v>0.002</v>
      </c>
      <c s="7" r="P1337"/>
      <c s="7" r="Q1337"/>
      <c s="7" r="R1337">
        <f>IF((P1337&gt;0),O1337,0)</f>
        <v>0</v>
      </c>
      <c t="str" r="S1337">
        <f>CONCATENATE(F1337,E1337)</f>
        <v>NON FTLNON FTL</v>
      </c>
    </row>
    <row r="1338">
      <c t="s" s="7" r="A1338">
        <v>201</v>
      </c>
      <c s="7" r="B1338">
        <v>1365</v>
      </c>
      <c s="30" r="C1338">
        <v>49</v>
      </c>
      <c t="s" s="30" r="D1338">
        <v>147</v>
      </c>
      <c t="s" s="30" r="E1338">
        <v>4</v>
      </c>
      <c t="s" s="30" r="F1338">
        <v>4</v>
      </c>
      <c t="s" s="30" r="G1338">
        <v>245</v>
      </c>
      <c t="str" s="12" r="H1338">
        <f>HYPERLINK("http://sofifa.com/en/fifa13winter/player/150041-alejandro-gorrin","A. Gorrin")</f>
        <v>A. Gorrin</v>
      </c>
      <c s="30" r="I1338">
        <v>59</v>
      </c>
      <c t="s" s="30" r="J1338">
        <v>124</v>
      </c>
      <c t="s" s="30" r="K1338">
        <v>159</v>
      </c>
      <c t="s" s="30" r="L1338">
        <v>122</v>
      </c>
      <c s="30" r="M1338">
        <v>19</v>
      </c>
      <c s="26" r="N1338">
        <v>0.4</v>
      </c>
      <c s="23" r="O1338">
        <v>0.002</v>
      </c>
      <c s="7" r="P1338"/>
      <c s="7" r="Q1338"/>
      <c s="7" r="R1338">
        <f>IF((P1338&gt;0),O1338,0)</f>
        <v>0</v>
      </c>
      <c t="str" r="S1338">
        <f>CONCATENATE(F1338,E1338)</f>
        <v>NON FTLNON FTL</v>
      </c>
    </row>
    <row r="1339">
      <c t="s" s="7" r="A1339">
        <v>201</v>
      </c>
      <c s="7" r="B1339">
        <v>1366</v>
      </c>
      <c s="30" r="C1339">
        <v>35</v>
      </c>
      <c t="s" s="30" r="D1339">
        <v>147</v>
      </c>
      <c t="s" s="30" r="E1339">
        <v>4</v>
      </c>
      <c t="s" s="30" r="F1339">
        <v>4</v>
      </c>
      <c t="s" s="30" r="G1339">
        <v>245</v>
      </c>
      <c t="str" s="12" r="H1339">
        <f>HYPERLINK("http://sofifa.com/en/fifa13winter/player/150350-david-ferguson","D. Ferguson")</f>
        <v>D. Ferguson</v>
      </c>
      <c s="30" r="I1339">
        <v>54</v>
      </c>
      <c t="s" s="30" r="J1339">
        <v>117</v>
      </c>
      <c t="s" s="30" r="K1339">
        <v>118</v>
      </c>
      <c t="s" s="30" r="L1339">
        <v>137</v>
      </c>
      <c s="30" r="M1339">
        <v>18</v>
      </c>
      <c s="26" r="N1339">
        <v>0.1</v>
      </c>
      <c s="23" r="O1339">
        <v>0.002</v>
      </c>
      <c s="7" r="P1339"/>
      <c s="7" r="Q1339"/>
      <c s="7" r="R1339">
        <f>IF((P1339&gt;0),O1339,0)</f>
        <v>0</v>
      </c>
      <c t="str" r="S1339">
        <f>CONCATENATE(F1339,E1339)</f>
        <v>NON FTLNON FTL</v>
      </c>
    </row>
    <row r="1340">
      <c t="s" s="7" r="A1340">
        <v>201</v>
      </c>
      <c s="7" r="B1340">
        <v>1367</v>
      </c>
      <c s="30" r="C1340">
        <v>42</v>
      </c>
      <c t="s" s="30" r="D1340">
        <v>147</v>
      </c>
      <c t="s" s="30" r="E1340">
        <v>4</v>
      </c>
      <c t="s" s="30" r="F1340">
        <v>4</v>
      </c>
      <c t="s" s="30" r="G1340">
        <v>245</v>
      </c>
      <c t="str" s="12" r="H1340">
        <f>HYPERLINK("http://sofifa.com/en/fifa13winter/player/149756-john-egan","J. Egan")</f>
        <v>J. Egan</v>
      </c>
      <c s="30" r="I1340">
        <v>58</v>
      </c>
      <c t="s" s="30" r="J1340">
        <v>113</v>
      </c>
      <c t="s" s="30" r="K1340">
        <v>134</v>
      </c>
      <c t="s" s="30" r="L1340">
        <v>151</v>
      </c>
      <c s="30" r="M1340">
        <v>19</v>
      </c>
      <c s="26" r="N1340">
        <v>0.3</v>
      </c>
      <c s="23" r="O1340">
        <v>0.002</v>
      </c>
      <c s="7" r="P1340"/>
      <c s="7" r="Q1340"/>
      <c s="7" r="R1340">
        <f>IF((P1340&gt;0),O1340,0)</f>
        <v>0</v>
      </c>
      <c t="str" r="S1340">
        <f>CONCATENATE(F1340,E1340)</f>
        <v>NON FTLNON FTL</v>
      </c>
    </row>
    <row r="1341">
      <c t="s" s="7" r="A1341">
        <v>201</v>
      </c>
      <c s="7" r="B1341">
        <v>1368</v>
      </c>
      <c s="30" r="C1341">
        <v>13</v>
      </c>
      <c t="s" s="30" r="D1341">
        <v>147</v>
      </c>
      <c t="s" s="30" r="E1341">
        <v>4</v>
      </c>
      <c t="s" s="30" r="F1341">
        <v>4</v>
      </c>
      <c t="s" s="30" r="G1341">
        <v>245</v>
      </c>
      <c t="str" s="12" r="H1341">
        <f>HYPERLINK("http://sofifa.com/en/fifa13winter/player/150259-jordan-pickford","J. Pickford")</f>
        <v>J. Pickford</v>
      </c>
      <c s="30" r="I1341">
        <v>59</v>
      </c>
      <c t="s" s="30" r="J1341">
        <v>106</v>
      </c>
      <c t="s" s="30" r="K1341">
        <v>132</v>
      </c>
      <c t="s" s="30" r="L1341">
        <v>111</v>
      </c>
      <c s="30" r="M1341">
        <v>18</v>
      </c>
      <c s="26" r="N1341">
        <v>0.4</v>
      </c>
      <c s="23" r="O1341">
        <v>0.002</v>
      </c>
      <c s="7" r="P1341"/>
      <c s="7" r="Q1341"/>
      <c s="7" r="R1341">
        <f>IF((P1341&gt;0),O1341,0)</f>
        <v>0</v>
      </c>
      <c t="str" r="S1341">
        <f>CONCATENATE(F1341,E1341)</f>
        <v>NON FTLNON FTL</v>
      </c>
    </row>
    <row r="1342">
      <c t="s" s="7" r="A1342">
        <v>201</v>
      </c>
      <c s="7" r="B1342">
        <v>1369</v>
      </c>
      <c s="30" r="C1342">
        <v>52</v>
      </c>
      <c t="s" s="30" r="D1342">
        <v>147</v>
      </c>
      <c t="s" s="30" r="E1342">
        <v>4</v>
      </c>
      <c t="s" s="30" r="F1342">
        <v>4</v>
      </c>
      <c t="s" s="30" r="G1342">
        <v>245</v>
      </c>
      <c t="str" s="12" r="H1342">
        <f>HYPERLINK("http://sofifa.com/en/fifa13winter/player/149925-jordan-watson","J. Watson")</f>
        <v>J. Watson</v>
      </c>
      <c s="30" r="I1342">
        <v>54</v>
      </c>
      <c t="s" s="30" r="J1342">
        <v>117</v>
      </c>
      <c t="s" s="30" r="K1342">
        <v>187</v>
      </c>
      <c t="s" s="30" r="L1342">
        <v>125</v>
      </c>
      <c s="30" r="M1342">
        <v>19</v>
      </c>
      <c s="26" r="N1342">
        <v>0.1</v>
      </c>
      <c s="23" r="O1342">
        <v>0.002</v>
      </c>
      <c s="7" r="P1342"/>
      <c s="7" r="Q1342"/>
      <c s="7" r="R1342">
        <f>IF((P1342&gt;0),O1342,0)</f>
        <v>0</v>
      </c>
      <c t="str" r="S1342">
        <f>CONCATENATE(F1342,E1342)</f>
        <v>NON FTLNON FTL</v>
      </c>
    </row>
    <row r="1343">
      <c t="s" s="7" r="A1343">
        <v>201</v>
      </c>
      <c s="7" r="B1343">
        <v>1370</v>
      </c>
      <c s="30" r="C1343">
        <v>47</v>
      </c>
      <c t="s" s="30" r="D1343">
        <v>147</v>
      </c>
      <c t="s" s="30" r="E1343">
        <v>4</v>
      </c>
      <c t="s" s="30" r="F1343">
        <v>4</v>
      </c>
      <c t="s" s="30" r="G1343">
        <v>245</v>
      </c>
      <c t="str" s="12" r="H1343">
        <f>HYPERLINK("http://sofifa.com/en/fifa13winter/player/149893-louis-laing","L. Laing")</f>
        <v>L. Laing</v>
      </c>
      <c s="30" r="I1343">
        <v>60</v>
      </c>
      <c t="s" s="30" r="J1343">
        <v>113</v>
      </c>
      <c t="s" s="30" r="K1343">
        <v>150</v>
      </c>
      <c t="s" s="30" r="L1343">
        <v>137</v>
      </c>
      <c s="30" r="M1343">
        <v>19</v>
      </c>
      <c s="26" r="N1343">
        <v>0.5</v>
      </c>
      <c s="23" r="O1343">
        <v>0.003</v>
      </c>
      <c s="7" r="P1343"/>
      <c s="7" r="Q1343"/>
      <c s="7" r="R1343">
        <f>IF((P1343&gt;0),O1343,0)</f>
        <v>0</v>
      </c>
      <c t="str" r="S1343">
        <f>CONCATENATE(F1343,E1343)</f>
        <v>NON FTLNON FTL</v>
      </c>
    </row>
    <row r="1344">
      <c t="s" s="7" r="A1344">
        <v>201</v>
      </c>
      <c s="7" r="B1344">
        <v>1371</v>
      </c>
      <c s="30" r="C1344">
        <v>44</v>
      </c>
      <c t="s" s="30" r="D1344">
        <v>147</v>
      </c>
      <c t="s" s="30" r="E1344">
        <v>4</v>
      </c>
      <c t="s" s="30" r="F1344">
        <v>4</v>
      </c>
      <c t="s" s="30" r="G1344">
        <v>245</v>
      </c>
      <c t="str" s="12" r="H1344">
        <f>HYPERLINK("http://sofifa.com/en/fifa13winter/player/149547-craig-lynch","C. Lynch")</f>
        <v>C. Lynch</v>
      </c>
      <c s="30" r="I1344">
        <v>56</v>
      </c>
      <c t="s" s="30" r="J1344">
        <v>129</v>
      </c>
      <c t="s" s="30" r="K1344">
        <v>139</v>
      </c>
      <c t="s" s="30" r="L1344">
        <v>141</v>
      </c>
      <c s="30" r="M1344">
        <v>20</v>
      </c>
      <c s="26" r="N1344">
        <v>0.1</v>
      </c>
      <c s="23" r="O1344">
        <v>0.002</v>
      </c>
      <c s="7" r="P1344"/>
      <c s="7" r="Q1344"/>
      <c s="7" r="R1344">
        <f>IF((P1344&gt;0),O1344,0)</f>
        <v>0</v>
      </c>
      <c t="str" r="S1344">
        <f>CONCATENATE(F1344,E1344)</f>
        <v>NON FTLNON FTL</v>
      </c>
    </row>
    <row r="1345">
      <c t="s" s="7" r="A1345">
        <v>201</v>
      </c>
      <c s="7" r="B1345">
        <v>1372</v>
      </c>
      <c s="30" r="C1345">
        <v>27</v>
      </c>
      <c t="s" s="30" r="D1345">
        <v>147</v>
      </c>
      <c t="s" s="30" r="E1345">
        <v>4</v>
      </c>
      <c t="s" s="30" r="F1345">
        <v>4</v>
      </c>
      <c t="s" s="30" r="G1345">
        <v>245</v>
      </c>
      <c t="str" s="12" r="H1345">
        <f>HYPERLINK("http://sofifa.com/en/fifa13winter/player/147888-ahmed-elmohamady","A. Elmohamady")</f>
        <v>A. Elmohamady</v>
      </c>
      <c s="30" r="I1345">
        <v>72</v>
      </c>
      <c t="s" s="30" r="J1345">
        <v>120</v>
      </c>
      <c t="s" s="30" r="K1345">
        <v>143</v>
      </c>
      <c t="s" s="30" r="L1345">
        <v>137</v>
      </c>
      <c s="30" r="M1345">
        <v>24</v>
      </c>
      <c s="26" r="N1345">
        <v>2.8</v>
      </c>
      <c s="23" r="O1345">
        <v>0.009</v>
      </c>
      <c s="7" r="P1345"/>
      <c s="7" r="Q1345"/>
      <c s="7" r="R1345">
        <f>IF((P1345&gt;0),O1345,0)</f>
        <v>0</v>
      </c>
      <c t="str" r="S1345">
        <f>CONCATENATE(F1345,E1345)</f>
        <v>NON FTLNON FTL</v>
      </c>
    </row>
    <row r="1346">
      <c t="s" s="7" r="A1346">
        <v>201</v>
      </c>
      <c s="7" r="B1346">
        <v>1373</v>
      </c>
      <c s="30" r="C1346">
        <v>1</v>
      </c>
      <c t="s" s="30" r="D1346">
        <v>106</v>
      </c>
      <c t="s" s="30" r="E1346">
        <v>4</v>
      </c>
      <c t="s" s="30" r="F1346">
        <v>4</v>
      </c>
      <c t="s" s="30" r="G1346">
        <v>246</v>
      </c>
      <c t="str" s="12" r="H1346">
        <f>HYPERLINK("http://sofifa.com/en/fifa13winter/player/147807-asmir-begovic","A. Begovic")</f>
        <v>A. Begovic</v>
      </c>
      <c s="30" r="I1346">
        <v>80</v>
      </c>
      <c t="s" s="30" r="J1346">
        <v>106</v>
      </c>
      <c t="s" s="30" r="K1346">
        <v>198</v>
      </c>
      <c t="s" s="30" r="L1346">
        <v>108</v>
      </c>
      <c s="30" r="M1346">
        <v>25</v>
      </c>
      <c s="26" r="N1346">
        <v>8.1</v>
      </c>
      <c s="23" r="O1346">
        <v>0.03</v>
      </c>
      <c s="7" r="P1346"/>
      <c s="7" r="Q1346"/>
      <c s="7" r="R1346">
        <f>IF((P1346&gt;0),O1346,0)</f>
        <v>0</v>
      </c>
      <c t="str" r="S1346">
        <f>CONCATENATE(F1346,E1346)</f>
        <v>NON FTLNON FTL</v>
      </c>
    </row>
    <row r="1347">
      <c t="s" s="7" r="A1347">
        <v>201</v>
      </c>
      <c s="7" r="B1347">
        <v>1374</v>
      </c>
      <c s="30" r="C1347">
        <v>28</v>
      </c>
      <c t="s" s="30" r="D1347">
        <v>109</v>
      </c>
      <c t="s" s="30" r="E1347">
        <v>4</v>
      </c>
      <c t="s" s="30" r="F1347">
        <v>4</v>
      </c>
      <c t="s" s="30" r="G1347">
        <v>246</v>
      </c>
      <c t="str" s="12" r="H1347">
        <f>HYPERLINK("http://sofifa.com/en/fifa13winter/player/146759-andy-wilkinson","A. Wilkinson")</f>
        <v>A. Wilkinson</v>
      </c>
      <c s="30" r="I1347">
        <v>74</v>
      </c>
      <c t="s" s="30" r="J1347">
        <v>109</v>
      </c>
      <c t="s" s="30" r="K1347">
        <v>114</v>
      </c>
      <c t="s" s="30" r="L1347">
        <v>111</v>
      </c>
      <c s="30" r="M1347">
        <v>28</v>
      </c>
      <c s="26" r="N1347">
        <v>3</v>
      </c>
      <c s="23" r="O1347">
        <v>0.011</v>
      </c>
      <c s="7" r="P1347"/>
      <c s="7" r="Q1347"/>
      <c s="7" r="R1347">
        <f>IF((P1347&gt;0),O1347,0)</f>
        <v>0</v>
      </c>
      <c t="str" r="S1347">
        <f>CONCATENATE(F1347,E1347)</f>
        <v>NON FTLNON FTL</v>
      </c>
    </row>
    <row r="1348">
      <c t="s" s="7" r="A1348">
        <v>201</v>
      </c>
      <c s="7" r="B1348">
        <v>1375</v>
      </c>
      <c s="30" r="C1348">
        <v>17</v>
      </c>
      <c t="s" s="30" r="D1348">
        <v>112</v>
      </c>
      <c t="s" s="30" r="E1348">
        <v>4</v>
      </c>
      <c t="s" s="30" r="F1348">
        <v>4</v>
      </c>
      <c t="s" s="30" r="G1348">
        <v>246</v>
      </c>
      <c t="str" s="12" r="H1348">
        <f>HYPERLINK("http://sofifa.com/en/fifa13winter/player/147913-ryan-shawcross","R. Shawcross")</f>
        <v>R. Shawcross</v>
      </c>
      <c s="30" r="I1348">
        <v>78</v>
      </c>
      <c t="s" s="30" r="J1348">
        <v>113</v>
      </c>
      <c t="s" s="30" r="K1348">
        <v>144</v>
      </c>
      <c t="s" s="30" r="L1348">
        <v>137</v>
      </c>
      <c s="30" r="M1348">
        <v>24</v>
      </c>
      <c s="26" r="N1348">
        <v>6.5</v>
      </c>
      <c s="23" r="O1348">
        <v>0.019</v>
      </c>
      <c s="7" r="P1348"/>
      <c s="7" r="Q1348"/>
      <c s="7" r="R1348">
        <f>IF((P1348&gt;0),O1348,0)</f>
        <v>0</v>
      </c>
      <c t="str" r="S1348">
        <f>CONCATENATE(F1348,E1348)</f>
        <v>NON FTLNON FTL</v>
      </c>
    </row>
    <row r="1349">
      <c t="s" s="7" r="A1349">
        <v>201</v>
      </c>
      <c s="7" r="B1349">
        <v>1376</v>
      </c>
      <c s="30" r="C1349">
        <v>4</v>
      </c>
      <c t="s" s="30" r="D1349">
        <v>116</v>
      </c>
      <c t="s" s="30" r="E1349">
        <v>4</v>
      </c>
      <c t="s" s="30" r="F1349">
        <v>4</v>
      </c>
      <c t="s" s="30" r="G1349">
        <v>246</v>
      </c>
      <c t="str" s="12" r="H1349">
        <f>HYPERLINK("http://sofifa.com/en/fifa13winter/player/146771-robert-huth","R. Huth")</f>
        <v>R. Huth</v>
      </c>
      <c s="30" r="I1349">
        <v>77</v>
      </c>
      <c t="s" s="30" r="J1349">
        <v>113</v>
      </c>
      <c t="s" s="30" r="K1349">
        <v>144</v>
      </c>
      <c t="s" s="30" r="L1349">
        <v>175</v>
      </c>
      <c s="30" r="M1349">
        <v>28</v>
      </c>
      <c s="26" r="N1349">
        <v>5.8</v>
      </c>
      <c s="23" r="O1349">
        <v>0.017</v>
      </c>
      <c s="7" r="P1349"/>
      <c s="7" r="Q1349"/>
      <c s="7" r="R1349">
        <f>IF((P1349&gt;0),O1349,0)</f>
        <v>0</v>
      </c>
      <c t="str" r="S1349">
        <f>CONCATENATE(F1349,E1349)</f>
        <v>NON FTLNON FTL</v>
      </c>
    </row>
    <row r="1350">
      <c t="s" s="7" r="A1350">
        <v>201</v>
      </c>
      <c s="7" r="B1350">
        <v>1377</v>
      </c>
      <c s="30" r="C1350">
        <v>12</v>
      </c>
      <c t="s" s="30" r="D1350">
        <v>117</v>
      </c>
      <c t="s" s="30" r="E1350">
        <v>4</v>
      </c>
      <c t="s" s="30" r="F1350">
        <v>4</v>
      </c>
      <c t="s" s="30" r="G1350">
        <v>246</v>
      </c>
      <c t="str" s="12" r="H1350">
        <f>HYPERLINK("http://sofifa.com/en/fifa13winter/player/147865-marc-wilson","M. Wilson")</f>
        <v>M. Wilson</v>
      </c>
      <c s="30" r="I1350">
        <v>74</v>
      </c>
      <c t="s" s="30" r="J1350">
        <v>117</v>
      </c>
      <c t="s" s="30" r="K1350">
        <v>134</v>
      </c>
      <c t="s" s="30" r="L1350">
        <v>153</v>
      </c>
      <c s="30" r="M1350">
        <v>25</v>
      </c>
      <c s="26" r="N1350">
        <v>3.2</v>
      </c>
      <c s="23" r="O1350">
        <v>0.011</v>
      </c>
      <c s="7" r="P1350"/>
      <c s="7" r="Q1350"/>
      <c s="7" r="R1350">
        <f>IF((P1350&gt;0),O1350,0)</f>
        <v>0</v>
      </c>
      <c t="str" r="S1350">
        <f>CONCATENATE(F1350,E1350)</f>
        <v>NON FTLNON FTL</v>
      </c>
    </row>
    <row r="1351">
      <c t="s" s="7" r="A1351">
        <v>201</v>
      </c>
      <c s="7" r="B1351">
        <v>1378</v>
      </c>
      <c s="30" r="C1351">
        <v>16</v>
      </c>
      <c t="s" s="30" r="D1351">
        <v>120</v>
      </c>
      <c t="s" s="30" r="E1351">
        <v>4</v>
      </c>
      <c t="s" s="30" r="F1351">
        <v>4</v>
      </c>
      <c t="s" s="30" r="G1351">
        <v>246</v>
      </c>
      <c t="str" s="12" r="H1351">
        <f>HYPERLINK("http://sofifa.com/en/fifa13winter/player/147250-charlie-adam","C. Adam")</f>
        <v>C. Adam</v>
      </c>
      <c s="30" r="I1351">
        <v>75</v>
      </c>
      <c t="s" s="30" r="J1351">
        <v>124</v>
      </c>
      <c t="s" s="30" r="K1351">
        <v>132</v>
      </c>
      <c t="s" s="30" r="L1351">
        <v>193</v>
      </c>
      <c s="30" r="M1351">
        <v>26</v>
      </c>
      <c s="26" r="N1351">
        <v>4</v>
      </c>
      <c s="23" r="O1351">
        <v>0.013</v>
      </c>
      <c s="7" r="P1351"/>
      <c s="7" r="Q1351"/>
      <c s="7" r="R1351">
        <f>IF((P1351&gt;0),O1351,0)</f>
        <v>0</v>
      </c>
      <c t="str" r="S1351">
        <f>CONCATENATE(F1351,E1351)</f>
        <v>NON FTLNON FTL</v>
      </c>
    </row>
    <row r="1352">
      <c t="s" s="7" r="A1352">
        <v>201</v>
      </c>
      <c s="7" r="B1352">
        <v>1379</v>
      </c>
      <c s="30" r="C1352">
        <v>6</v>
      </c>
      <c t="s" s="30" r="D1352">
        <v>123</v>
      </c>
      <c t="s" s="30" r="E1352">
        <v>4</v>
      </c>
      <c t="s" s="30" r="F1352">
        <v>4</v>
      </c>
      <c t="s" s="30" r="G1352">
        <v>246</v>
      </c>
      <c t="str" s="12" r="H1352">
        <f>HYPERLINK("http://sofifa.com/en/fifa13winter/player/146553-glenn-whelan","G. Whelan")</f>
        <v>G. Whelan</v>
      </c>
      <c s="30" r="I1352">
        <v>73</v>
      </c>
      <c t="s" s="30" r="J1352">
        <v>124</v>
      </c>
      <c t="s" s="30" r="K1352">
        <v>114</v>
      </c>
      <c t="s" s="30" r="L1352">
        <v>153</v>
      </c>
      <c s="30" r="M1352">
        <v>28</v>
      </c>
      <c s="26" r="N1352">
        <v>2.8</v>
      </c>
      <c s="23" r="O1352">
        <v>0.01</v>
      </c>
      <c s="7" r="P1352"/>
      <c s="7" r="Q1352"/>
      <c s="7" r="R1352">
        <f>IF((P1352&gt;0),O1352,0)</f>
        <v>0</v>
      </c>
      <c t="str" r="S1352">
        <f>CONCATENATE(F1352,E1352)</f>
        <v>NON FTLNON FTL</v>
      </c>
    </row>
    <row r="1353">
      <c t="s" s="7" r="A1353">
        <v>201</v>
      </c>
      <c s="7" r="B1353">
        <v>1380</v>
      </c>
      <c s="30" r="C1353">
        <v>15</v>
      </c>
      <c t="s" s="30" r="D1353">
        <v>126</v>
      </c>
      <c t="s" s="30" r="E1353">
        <v>4</v>
      </c>
      <c t="s" s="30" r="F1353">
        <v>4</v>
      </c>
      <c t="s" s="30" r="G1353">
        <v>246</v>
      </c>
      <c t="str" s="12" r="H1353">
        <f>HYPERLINK("http://sofifa.com/en/fifa13winter/player/148351-steven-nzonzi","S. N'Zonzi")</f>
        <v>S. N'Zonzi</v>
      </c>
      <c s="30" r="I1353">
        <v>77</v>
      </c>
      <c t="s" s="30" r="J1353">
        <v>154</v>
      </c>
      <c t="s" s="30" r="K1353">
        <v>152</v>
      </c>
      <c t="s" s="30" r="L1353">
        <v>151</v>
      </c>
      <c s="30" r="M1353">
        <v>23</v>
      </c>
      <c s="26" r="N1353">
        <v>5.6</v>
      </c>
      <c s="23" r="O1353">
        <v>0.016</v>
      </c>
      <c s="7" r="P1353"/>
      <c s="7" r="Q1353"/>
      <c s="7" r="R1353">
        <f>IF((P1353&gt;0),O1353,0)</f>
        <v>0</v>
      </c>
      <c t="str" r="S1353">
        <f>CONCATENATE(F1353,E1353)</f>
        <v>NON FTLNON FTL</v>
      </c>
    </row>
    <row r="1354">
      <c t="s" s="7" r="A1354">
        <v>201</v>
      </c>
      <c s="7" r="B1354">
        <v>1381</v>
      </c>
      <c s="30" r="C1354">
        <v>26</v>
      </c>
      <c t="s" s="30" r="D1354">
        <v>128</v>
      </c>
      <c t="s" s="30" r="E1354">
        <v>4</v>
      </c>
      <c t="s" s="30" r="F1354">
        <v>4</v>
      </c>
      <c t="s" s="30" r="G1354">
        <v>246</v>
      </c>
      <c t="str" s="12" r="H1354">
        <f>HYPERLINK("http://sofifa.com/en/fifa13winter/player/145671-matthew-etherington","M. Etherington")</f>
        <v>M. Etherington</v>
      </c>
      <c s="30" r="I1354">
        <v>77</v>
      </c>
      <c t="s" s="30" r="J1354">
        <v>128</v>
      </c>
      <c t="s" s="30" r="K1354">
        <v>118</v>
      </c>
      <c t="s" s="30" r="L1354">
        <v>141</v>
      </c>
      <c s="30" r="M1354">
        <v>31</v>
      </c>
      <c s="26" r="N1354">
        <v>4.7</v>
      </c>
      <c s="23" r="O1354">
        <v>0.019</v>
      </c>
      <c s="7" r="P1354"/>
      <c s="7" r="Q1354"/>
      <c s="7" r="R1354">
        <f>IF((P1354&gt;0),O1354,0)</f>
        <v>0</v>
      </c>
      <c t="str" r="S1354">
        <f>CONCATENATE(F1354,E1354)</f>
        <v>NON FTLNON FTL</v>
      </c>
    </row>
    <row r="1355">
      <c t="s" s="7" r="A1355">
        <v>201</v>
      </c>
      <c s="7" r="B1355">
        <v>1382</v>
      </c>
      <c s="30" r="C1355">
        <v>19</v>
      </c>
      <c t="s" s="30" r="D1355">
        <v>171</v>
      </c>
      <c t="s" s="30" r="E1355">
        <v>4</v>
      </c>
      <c t="s" s="30" r="F1355">
        <v>4</v>
      </c>
      <c t="s" s="30" r="G1355">
        <v>246</v>
      </c>
      <c t="str" s="12" r="H1355">
        <f>HYPERLINK("http://sofifa.com/en/fifa13winter/player/146438-jonathan-walters","J. Walters")</f>
        <v>J. Walters</v>
      </c>
      <c s="30" r="I1355">
        <v>73</v>
      </c>
      <c t="s" s="30" r="J1355">
        <v>171</v>
      </c>
      <c t="s" s="30" r="K1355">
        <v>110</v>
      </c>
      <c t="s" s="30" r="L1355">
        <v>158</v>
      </c>
      <c s="30" r="M1355">
        <v>28</v>
      </c>
      <c s="26" r="N1355">
        <v>3.4</v>
      </c>
      <c s="23" r="O1355">
        <v>0.01</v>
      </c>
      <c s="7" r="P1355"/>
      <c s="7" r="Q1355"/>
      <c s="7" r="R1355">
        <f>IF((P1355&gt;0),O1355,0)</f>
        <v>0</v>
      </c>
      <c t="str" r="S1355">
        <f>CONCATENATE(F1355,E1355)</f>
        <v>NON FTLNON FTL</v>
      </c>
    </row>
    <row r="1356">
      <c t="s" s="7" r="A1356">
        <v>201</v>
      </c>
      <c s="7" r="B1356">
        <v>1383</v>
      </c>
      <c s="30" r="C1356">
        <v>25</v>
      </c>
      <c t="s" s="30" r="D1356">
        <v>129</v>
      </c>
      <c t="s" s="30" r="E1356">
        <v>4</v>
      </c>
      <c t="s" s="30" r="F1356">
        <v>4</v>
      </c>
      <c t="s" s="30" r="G1356">
        <v>246</v>
      </c>
      <c t="str" s="12" r="H1356">
        <f>HYPERLINK("http://sofifa.com/en/fifa13winter/player/145475-peter-crouch","P. Crouch")</f>
        <v>P. Crouch</v>
      </c>
      <c s="30" r="I1356">
        <v>77</v>
      </c>
      <c t="s" s="30" r="J1356">
        <v>129</v>
      </c>
      <c t="s" s="30" r="K1356">
        <v>189</v>
      </c>
      <c t="s" s="30" r="L1356">
        <v>153</v>
      </c>
      <c s="30" r="M1356">
        <v>31</v>
      </c>
      <c s="26" r="N1356">
        <v>5.9</v>
      </c>
      <c s="23" r="O1356">
        <v>0.019</v>
      </c>
      <c s="7" r="P1356"/>
      <c s="7" r="Q1356"/>
      <c s="7" r="R1356">
        <f>IF((P1356&gt;0),O1356,0)</f>
        <v>0</v>
      </c>
      <c t="str" r="S1356">
        <f>CONCATENATE(F1356,E1356)</f>
        <v>NON FTLNON FTL</v>
      </c>
    </row>
    <row r="1357">
      <c t="s" s="7" r="A1357">
        <v>201</v>
      </c>
      <c s="7" r="B1357">
        <v>1384</v>
      </c>
      <c s="30" r="C1357">
        <v>38</v>
      </c>
      <c t="s" s="30" r="D1357">
        <v>136</v>
      </c>
      <c t="s" s="30" r="E1357">
        <v>4</v>
      </c>
      <c t="s" s="30" r="F1357">
        <v>4</v>
      </c>
      <c t="s" s="30" r="G1357">
        <v>246</v>
      </c>
      <c t="str" s="12" r="H1357">
        <f>HYPERLINK("http://sofifa.com/en/fifa13winter/player/149718-florent-cuvelier","F. Cuvelier")</f>
        <v>F. Cuvelier</v>
      </c>
      <c s="30" r="I1357">
        <v>64</v>
      </c>
      <c t="s" s="30" r="J1357">
        <v>124</v>
      </c>
      <c t="s" s="30" r="K1357">
        <v>139</v>
      </c>
      <c t="s" s="30" r="L1357">
        <v>137</v>
      </c>
      <c s="30" r="M1357">
        <v>19</v>
      </c>
      <c s="26" r="N1357">
        <v>1</v>
      </c>
      <c s="23" r="O1357">
        <v>0.004</v>
      </c>
      <c s="7" r="P1357"/>
      <c s="7" r="Q1357"/>
      <c s="7" r="R1357">
        <f>IF((P1357&gt;0),O1357,0)</f>
        <v>0</v>
      </c>
      <c t="str" r="S1357">
        <f>CONCATENATE(F1357,E1357)</f>
        <v>NON FTLNON FTL</v>
      </c>
    </row>
    <row r="1358">
      <c t="s" s="7" r="A1358">
        <v>201</v>
      </c>
      <c s="7" r="B1358">
        <v>1385</v>
      </c>
      <c s="30" r="C1358">
        <v>20</v>
      </c>
      <c t="s" s="30" r="D1358">
        <v>136</v>
      </c>
      <c t="s" s="30" r="E1358">
        <v>4</v>
      </c>
      <c t="s" s="30" r="F1358">
        <v>4</v>
      </c>
      <c t="s" s="30" r="G1358">
        <v>246</v>
      </c>
      <c t="str" s="12" r="H1358">
        <f>HYPERLINK("http://sofifa.com/en/fifa13winter/player/149897-jack-butland","J. Butland")</f>
        <v>J. Butland</v>
      </c>
      <c s="30" r="I1358">
        <v>71</v>
      </c>
      <c t="s" s="30" r="J1358">
        <v>106</v>
      </c>
      <c t="s" s="30" r="K1358">
        <v>165</v>
      </c>
      <c t="s" s="30" r="L1358">
        <v>194</v>
      </c>
      <c s="30" r="M1358">
        <v>19</v>
      </c>
      <c s="26" r="N1358">
        <v>2.1</v>
      </c>
      <c s="23" r="O1358">
        <v>0.006</v>
      </c>
      <c s="7" r="P1358"/>
      <c s="7" r="Q1358"/>
      <c s="7" r="R1358">
        <f>IF((P1358&gt;0),O1358,0)</f>
        <v>0</v>
      </c>
      <c t="str" r="S1358">
        <f>CONCATENATE(F1358,E1358)</f>
        <v>NON FTLNON FTL</v>
      </c>
    </row>
    <row r="1359">
      <c t="s" s="7" r="A1359">
        <v>201</v>
      </c>
      <c s="7" r="B1359">
        <v>1386</v>
      </c>
      <c s="30" r="C1359">
        <v>2</v>
      </c>
      <c t="s" s="30" r="D1359">
        <v>136</v>
      </c>
      <c t="s" s="30" r="E1359">
        <v>4</v>
      </c>
      <c t="s" s="30" r="F1359">
        <v>4</v>
      </c>
      <c t="s" s="30" r="G1359">
        <v>246</v>
      </c>
      <c t="str" s="12" r="H1359">
        <f>HYPERLINK("http://sofifa.com/en/fifa13winter/player/147088-geoff-cameron","G. Cameron")</f>
        <v>G. Cameron</v>
      </c>
      <c s="30" r="I1359">
        <v>72</v>
      </c>
      <c t="s" s="30" r="J1359">
        <v>109</v>
      </c>
      <c t="s" s="30" r="K1359">
        <v>144</v>
      </c>
      <c t="s" s="30" r="L1359">
        <v>156</v>
      </c>
      <c s="30" r="M1359">
        <v>27</v>
      </c>
      <c s="26" r="N1359">
        <v>2.4</v>
      </c>
      <c s="23" r="O1359">
        <v>0.009</v>
      </c>
      <c s="7" r="P1359"/>
      <c s="7" r="Q1359"/>
      <c s="7" r="R1359">
        <f>IF((P1359&gt;0),O1359,0)</f>
        <v>0</v>
      </c>
      <c t="str" r="S1359">
        <f>CONCATENATE(F1359,E1359)</f>
        <v>NON FTLNON FTL</v>
      </c>
    </row>
    <row r="1360">
      <c t="s" s="7" r="A1360">
        <v>201</v>
      </c>
      <c s="7" r="B1360">
        <v>1387</v>
      </c>
      <c s="30" r="C1360">
        <v>37</v>
      </c>
      <c t="s" s="30" r="D1360">
        <v>136</v>
      </c>
      <c t="s" s="30" r="E1360">
        <v>4</v>
      </c>
      <c t="s" s="30" r="F1360">
        <v>4</v>
      </c>
      <c t="s" s="30" r="G1360">
        <v>246</v>
      </c>
      <c t="str" s="12" r="H1360">
        <f>HYPERLINK("http://sofifa.com/en/fifa13winter/player/150314-karim-rossi","K. Rossi")</f>
        <v>K. Rossi</v>
      </c>
      <c s="30" r="I1360">
        <v>61</v>
      </c>
      <c t="s" s="30" r="J1360">
        <v>129</v>
      </c>
      <c t="s" s="30" r="K1360">
        <v>143</v>
      </c>
      <c t="s" s="30" r="L1360">
        <v>151</v>
      </c>
      <c s="30" r="M1360">
        <v>18</v>
      </c>
      <c s="26" r="N1360">
        <v>0.8</v>
      </c>
      <c s="23" r="O1360">
        <v>0.003</v>
      </c>
      <c s="7" r="P1360"/>
      <c s="7" r="Q1360"/>
      <c s="7" r="R1360">
        <f>IF((P1360&gt;0),O1360,0)</f>
        <v>0</v>
      </c>
      <c t="str" r="S1360">
        <f>CONCATENATE(F1360,E1360)</f>
        <v>NON FTLNON FTL</v>
      </c>
    </row>
    <row r="1361">
      <c t="s" s="7" r="A1361">
        <v>201</v>
      </c>
      <c s="7" r="B1361">
        <v>1388</v>
      </c>
      <c s="30" r="C1361">
        <v>22</v>
      </c>
      <c t="s" s="30" r="D1361">
        <v>136</v>
      </c>
      <c t="s" s="30" r="E1361">
        <v>4</v>
      </c>
      <c t="s" s="30" r="F1361">
        <v>4</v>
      </c>
      <c t="s" s="30" r="G1361">
        <v>246</v>
      </c>
      <c t="str" s="12" r="H1361">
        <f>HYPERLINK("http://sofifa.com/en/fifa13winter/player/148791-brek-shea","B. Shea")</f>
        <v>B. Shea</v>
      </c>
      <c s="30" r="I1361">
        <v>70</v>
      </c>
      <c t="s" s="30" r="J1361">
        <v>128</v>
      </c>
      <c t="s" s="30" r="K1361">
        <v>144</v>
      </c>
      <c t="s" s="30" r="L1361">
        <v>180</v>
      </c>
      <c s="30" r="M1361">
        <v>22</v>
      </c>
      <c s="26" r="N1361">
        <v>2</v>
      </c>
      <c s="23" r="O1361">
        <v>0.006</v>
      </c>
      <c s="7" r="P1361"/>
      <c s="7" r="Q1361"/>
      <c s="7" r="R1361">
        <f>IF((P1361&gt;0),O1361,0)</f>
        <v>0</v>
      </c>
      <c t="str" r="S1361">
        <f>CONCATENATE(F1361,E1361)</f>
        <v>NON FTLNON FTL</v>
      </c>
    </row>
    <row r="1362">
      <c t="s" s="7" r="A1362">
        <v>201</v>
      </c>
      <c s="7" r="B1362">
        <v>1389</v>
      </c>
      <c s="30" r="C1362">
        <v>8</v>
      </c>
      <c t="s" s="30" r="D1362">
        <v>136</v>
      </c>
      <c t="s" s="30" r="E1362">
        <v>4</v>
      </c>
      <c t="s" s="30" r="F1362">
        <v>4</v>
      </c>
      <c t="s" s="30" r="G1362">
        <v>246</v>
      </c>
      <c t="str" s="12" r="H1362">
        <f>HYPERLINK("http://sofifa.com/en/fifa13winter/player/146751-wilson-palacios","W. Palacios")</f>
        <v>W. Palacios</v>
      </c>
      <c s="30" r="I1362">
        <v>73</v>
      </c>
      <c t="s" s="30" r="J1362">
        <v>154</v>
      </c>
      <c t="s" s="30" r="K1362">
        <v>118</v>
      </c>
      <c t="s" s="30" r="L1362">
        <v>142</v>
      </c>
      <c s="30" r="M1362">
        <v>28</v>
      </c>
      <c s="26" r="N1362">
        <v>2.7</v>
      </c>
      <c s="23" r="O1362">
        <v>0.01</v>
      </c>
      <c s="7" r="P1362"/>
      <c s="7" r="Q1362"/>
      <c s="7" r="R1362">
        <f>IF((P1362&gt;0),O1362,0)</f>
        <v>0</v>
      </c>
      <c t="str" r="S1362">
        <f>CONCATENATE(F1362,E1362)</f>
        <v>NON FTLNON FTL</v>
      </c>
    </row>
    <row r="1363">
      <c t="s" s="7" r="A1363">
        <v>201</v>
      </c>
      <c s="7" r="B1363">
        <v>1390</v>
      </c>
      <c s="30" r="C1363">
        <v>30</v>
      </c>
      <c t="s" s="30" r="D1363">
        <v>136</v>
      </c>
      <c t="s" s="30" r="E1363">
        <v>4</v>
      </c>
      <c t="s" s="30" r="F1363">
        <v>4</v>
      </c>
      <c t="s" s="30" r="G1363">
        <v>246</v>
      </c>
      <c t="str" s="12" r="H1363">
        <f>HYPERLINK("http://sofifa.com/en/fifa13winter/player/148275-ryan-shotton","R. Shotton")</f>
        <v>R. Shotton</v>
      </c>
      <c s="30" r="I1363">
        <v>68</v>
      </c>
      <c t="s" s="30" r="J1363">
        <v>109</v>
      </c>
      <c t="s" s="30" r="K1363">
        <v>144</v>
      </c>
      <c t="s" s="30" r="L1363">
        <v>156</v>
      </c>
      <c s="30" r="M1363">
        <v>23</v>
      </c>
      <c s="26" r="N1363">
        <v>1.5</v>
      </c>
      <c s="23" r="O1363">
        <v>0.006</v>
      </c>
      <c s="7" r="P1363"/>
      <c s="7" r="Q1363"/>
      <c s="7" r="R1363">
        <f>IF((P1363&gt;0),O1363,0)</f>
        <v>0</v>
      </c>
      <c t="str" r="S1363">
        <f>CONCATENATE(F1363,E1363)</f>
        <v>NON FTLNON FTL</v>
      </c>
    </row>
    <row r="1364">
      <c t="s" s="7" r="A1364">
        <v>201</v>
      </c>
      <c s="7" r="B1364">
        <v>1391</v>
      </c>
      <c s="30" r="C1364">
        <v>33</v>
      </c>
      <c t="s" s="30" r="D1364">
        <v>136</v>
      </c>
      <c t="s" s="30" r="E1364">
        <v>4</v>
      </c>
      <c t="s" s="30" r="F1364">
        <v>4</v>
      </c>
      <c t="s" s="30" r="G1364">
        <v>246</v>
      </c>
      <c t="str" s="12" r="H1364">
        <f>HYPERLINK("http://sofifa.com/en/fifa13winter/player/147558-cameron-jerome","C. Jerome")</f>
        <v>C. Jerome</v>
      </c>
      <c s="30" r="I1364">
        <v>73</v>
      </c>
      <c t="s" s="30" r="J1364">
        <v>129</v>
      </c>
      <c t="s" s="30" r="K1364">
        <v>132</v>
      </c>
      <c t="s" s="30" r="L1364">
        <v>179</v>
      </c>
      <c s="30" r="M1364">
        <v>25</v>
      </c>
      <c s="26" r="N1364">
        <v>3.6</v>
      </c>
      <c s="23" r="O1364">
        <v>0.01</v>
      </c>
      <c s="7" r="P1364"/>
      <c s="7" r="Q1364"/>
      <c s="7" r="R1364">
        <f>IF((P1364&gt;0),O1364,0)</f>
        <v>0</v>
      </c>
      <c t="str" r="S1364">
        <f>CONCATENATE(F1364,E1364)</f>
        <v>NON FTLNON FTL</v>
      </c>
    </row>
    <row r="1365">
      <c t="s" s="7" r="A1365">
        <v>201</v>
      </c>
      <c s="7" r="B1365">
        <v>1392</v>
      </c>
      <c s="30" r="C1365">
        <v>9</v>
      </c>
      <c t="s" s="30" r="D1365">
        <v>136</v>
      </c>
      <c t="s" s="30" r="E1365">
        <v>4</v>
      </c>
      <c t="s" s="30" r="F1365">
        <v>4</v>
      </c>
      <c t="s" s="30" r="G1365">
        <v>246</v>
      </c>
      <c t="str" s="12" r="H1365">
        <f>HYPERLINK("http://sofifa.com/en/fifa13winter/player/146819-kenwyne-jones","K. Jones")</f>
        <v>K. Jones</v>
      </c>
      <c s="30" r="I1365">
        <v>75</v>
      </c>
      <c t="s" s="30" r="J1365">
        <v>129</v>
      </c>
      <c t="s" s="30" r="K1365">
        <v>155</v>
      </c>
      <c t="s" s="30" r="L1365">
        <v>179</v>
      </c>
      <c s="30" r="M1365">
        <v>27</v>
      </c>
      <c s="26" r="N1365">
        <v>5.2</v>
      </c>
      <c s="23" r="O1365">
        <v>0.013</v>
      </c>
      <c s="7" r="P1365"/>
      <c s="7" r="Q1365"/>
      <c s="7" r="R1365">
        <f>IF((P1365&gt;0),O1365,0)</f>
        <v>0</v>
      </c>
      <c t="str" r="S1365">
        <f>CONCATENATE(F1365,E1365)</f>
        <v>NON FTLNON FTL</v>
      </c>
    </row>
    <row r="1366">
      <c t="s" s="7" r="A1366">
        <v>201</v>
      </c>
      <c s="7" r="B1366">
        <v>1393</v>
      </c>
      <c s="30" r="C1366">
        <v>21</v>
      </c>
      <c t="s" s="30" r="D1366">
        <v>136</v>
      </c>
      <c t="s" s="30" r="E1366">
        <v>4</v>
      </c>
      <c t="s" s="30" r="F1366">
        <v>4</v>
      </c>
      <c t="s" s="30" r="G1366">
        <v>246</v>
      </c>
      <c t="str" s="12" r="H1366">
        <f>HYPERLINK("http://sofifa.com/en/fifa13winter/player/147295-michael-kightly","M. Kightly")</f>
        <v>M. Kightly</v>
      </c>
      <c s="30" r="I1366">
        <v>74</v>
      </c>
      <c t="s" s="30" r="J1366">
        <v>128</v>
      </c>
      <c t="s" s="30" r="K1366">
        <v>130</v>
      </c>
      <c t="s" s="30" r="L1366">
        <v>142</v>
      </c>
      <c s="30" r="M1366">
        <v>26</v>
      </c>
      <c s="26" r="N1366">
        <v>3.5</v>
      </c>
      <c s="23" r="O1366">
        <v>0.011</v>
      </c>
      <c s="7" r="P1366"/>
      <c s="7" r="Q1366"/>
      <c s="7" r="R1366">
        <f>IF((P1366&gt;0),O1366,0)</f>
        <v>0</v>
      </c>
      <c t="str" r="S1366">
        <f>CONCATENATE(F1366,E1366)</f>
        <v>NON FTLNON FTL</v>
      </c>
    </row>
    <row r="1367">
      <c t="s" s="7" r="A1367">
        <v>201</v>
      </c>
      <c s="7" r="B1367">
        <v>1394</v>
      </c>
      <c s="30" r="C1367">
        <v>29</v>
      </c>
      <c t="s" s="30" r="D1367">
        <v>136</v>
      </c>
      <c t="s" s="30" r="E1367">
        <v>4</v>
      </c>
      <c t="s" s="30" r="F1367">
        <v>4</v>
      </c>
      <c t="s" s="30" r="G1367">
        <v>246</v>
      </c>
      <c t="str" s="12" r="H1367">
        <f>HYPERLINK("http://sofifa.com/en/fifa13winter/player/143782-thomas-sorensen","T. Sørensen")</f>
        <v>T. Sørensen</v>
      </c>
      <c s="30" r="I1367">
        <v>74</v>
      </c>
      <c t="s" s="30" r="J1367">
        <v>106</v>
      </c>
      <c t="s" s="30" r="K1367">
        <v>198</v>
      </c>
      <c t="s" s="30" r="L1367">
        <v>191</v>
      </c>
      <c s="30" r="M1367">
        <v>36</v>
      </c>
      <c s="26" r="N1367">
        <v>1.5</v>
      </c>
      <c s="23" r="O1367">
        <v>0.014</v>
      </c>
      <c s="7" r="P1367"/>
      <c s="7" r="Q1367"/>
      <c s="7" r="R1367">
        <f>IF((P1367&gt;0),O1367,0)</f>
        <v>0</v>
      </c>
      <c t="str" r="S1367">
        <f>CONCATENATE(F1367,E1367)</f>
        <v>NON FTLNON FTL</v>
      </c>
    </row>
    <row r="1368">
      <c t="s" s="7" r="A1368">
        <v>201</v>
      </c>
      <c s="7" r="B1368">
        <v>1395</v>
      </c>
      <c s="30" r="C1368">
        <v>7</v>
      </c>
      <c t="s" s="30" r="D1368">
        <v>136</v>
      </c>
      <c t="s" s="30" r="E1368">
        <v>4</v>
      </c>
      <c t="s" s="30" r="F1368">
        <v>4</v>
      </c>
      <c t="s" s="30" r="G1368">
        <v>246</v>
      </c>
      <c t="str" s="12" r="H1368">
        <f>HYPERLINK("http://sofifa.com/en/fifa13winter/player/146190-jermaine-pennant","J. Pennant")</f>
        <v>J. Pennant</v>
      </c>
      <c s="30" r="I1368">
        <v>75</v>
      </c>
      <c t="s" s="30" r="J1368">
        <v>120</v>
      </c>
      <c t="s" s="30" r="K1368">
        <v>130</v>
      </c>
      <c t="s" s="30" r="L1368">
        <v>115</v>
      </c>
      <c s="30" r="M1368">
        <v>29</v>
      </c>
      <c s="26" r="N1368">
        <v>3.9</v>
      </c>
      <c s="23" r="O1368">
        <v>0.014</v>
      </c>
      <c s="7" r="P1368"/>
      <c s="7" r="Q1368"/>
      <c s="7" r="R1368">
        <f>IF((P1368&gt;0),O1368,0)</f>
        <v>0</v>
      </c>
      <c t="str" r="S1368">
        <f>CONCATENATE(F1368,E1368)</f>
        <v>NON FTLNON FTL</v>
      </c>
    </row>
    <row r="1369">
      <c t="s" s="7" r="A1369">
        <v>201</v>
      </c>
      <c s="7" r="B1369">
        <v>1396</v>
      </c>
      <c s="30" r="C1369">
        <v>45</v>
      </c>
      <c t="s" s="30" r="D1369">
        <v>147</v>
      </c>
      <c t="s" s="30" r="E1369">
        <v>4</v>
      </c>
      <c t="s" s="30" r="F1369">
        <v>4</v>
      </c>
      <c t="s" s="30" r="G1369">
        <v>246</v>
      </c>
      <c t="str" s="12" r="H1369">
        <f>HYPERLINK("http://sofifa.com/en/fifa13winter/player/150181-elliot-wheeler","E. Wheeler")</f>
        <v>E. Wheeler</v>
      </c>
      <c s="30" r="I1369">
        <v>48</v>
      </c>
      <c t="s" s="30" r="J1369">
        <v>120</v>
      </c>
      <c t="s" s="30" r="K1369">
        <v>114</v>
      </c>
      <c t="s" s="30" r="L1369">
        <v>151</v>
      </c>
      <c s="30" r="M1369">
        <v>18</v>
      </c>
      <c s="26" r="N1369">
        <v>0.1</v>
      </c>
      <c s="23" r="O1369">
        <v>0.002</v>
      </c>
      <c s="7" r="P1369"/>
      <c s="7" r="Q1369"/>
      <c s="7" r="R1369">
        <f>IF((P1369&gt;0),O1369,0)</f>
        <v>0</v>
      </c>
      <c t="str" r="S1369">
        <f>CONCATENATE(F1369,E1369)</f>
        <v>NON FTLNON FTL</v>
      </c>
    </row>
    <row r="1370">
      <c t="s" s="7" r="A1370">
        <v>201</v>
      </c>
      <c s="7" r="B1370">
        <v>1397</v>
      </c>
      <c s="30" r="C1370">
        <v>50</v>
      </c>
      <c t="s" s="30" r="D1370">
        <v>147</v>
      </c>
      <c t="s" s="30" r="E1370">
        <v>4</v>
      </c>
      <c t="s" s="30" r="F1370">
        <v>4</v>
      </c>
      <c t="s" s="30" r="G1370">
        <v>246</v>
      </c>
      <c t="str" s="12" r="H1370">
        <f>HYPERLINK("http://sofifa.com/en/fifa13winter/player/150598-dale-eve","D. Eve")</f>
        <v>D. Eve</v>
      </c>
      <c s="30" r="I1370">
        <v>61</v>
      </c>
      <c t="s" s="30" r="J1370">
        <v>106</v>
      </c>
      <c t="s" s="30" r="K1370">
        <v>107</v>
      </c>
      <c t="s" s="30" r="L1370">
        <v>179</v>
      </c>
      <c s="30" r="M1370">
        <v>17</v>
      </c>
      <c s="26" r="N1370">
        <v>0.6</v>
      </c>
      <c s="23" r="O1370">
        <v>0.003</v>
      </c>
      <c s="7" r="P1370"/>
      <c s="7" r="Q1370"/>
      <c s="7" r="R1370">
        <f>IF((P1370&gt;0),O1370,0)</f>
        <v>0</v>
      </c>
      <c t="str" r="S1370">
        <f>CONCATENATE(F1370,E1370)</f>
        <v>NON FTLNON FTL</v>
      </c>
    </row>
    <row r="1371">
      <c t="s" s="7" r="A1371">
        <v>201</v>
      </c>
      <c s="7" r="B1371">
        <v>1398</v>
      </c>
      <c s="30" r="C1371">
        <v>35</v>
      </c>
      <c t="s" s="30" r="D1371">
        <v>147</v>
      </c>
      <c t="s" s="30" r="E1371">
        <v>4</v>
      </c>
      <c t="s" s="30" r="F1371">
        <v>4</v>
      </c>
      <c t="s" s="30" r="G1371">
        <v>246</v>
      </c>
      <c t="str" s="12" r="H1371">
        <f>HYPERLINK("http://sofifa.com/en/fifa13winter/player/150383-daniel-bachmann","D. Bachmann")</f>
        <v>D. Bachmann</v>
      </c>
      <c s="30" r="I1371">
        <v>60</v>
      </c>
      <c t="s" s="30" r="J1371">
        <v>106</v>
      </c>
      <c t="s" s="30" r="K1371">
        <v>144</v>
      </c>
      <c t="s" s="30" r="L1371">
        <v>183</v>
      </c>
      <c s="30" r="M1371">
        <v>18</v>
      </c>
      <c s="26" r="N1371">
        <v>0.5</v>
      </c>
      <c s="23" r="O1371">
        <v>0.002</v>
      </c>
      <c s="7" r="P1371"/>
      <c s="7" r="Q1371"/>
      <c s="7" r="R1371">
        <f>IF((P1371&gt;0),O1371,0)</f>
        <v>0</v>
      </c>
      <c t="str" r="S1371">
        <f>CONCATENATE(F1371,E1371)</f>
        <v>NON FTLNON FTL</v>
      </c>
    </row>
    <row r="1372">
      <c t="s" s="7" r="A1372">
        <v>201</v>
      </c>
      <c s="7" r="B1372">
        <v>1399</v>
      </c>
      <c s="30" r="C1372">
        <v>44</v>
      </c>
      <c t="s" s="30" r="D1372">
        <v>147</v>
      </c>
      <c t="s" s="30" r="E1372">
        <v>4</v>
      </c>
      <c t="s" s="30" r="F1372">
        <v>4</v>
      </c>
      <c t="s" s="30" r="G1372">
        <v>246</v>
      </c>
      <c t="str" s="12" r="H1372">
        <f>HYPERLINK("http://sofifa.com/en/fifa13winter/player/150216-alex-grant","A. Grant")</f>
        <v>A. Grant</v>
      </c>
      <c s="30" r="I1372">
        <v>51</v>
      </c>
      <c t="s" s="30" r="J1372">
        <v>113</v>
      </c>
      <c t="s" s="30" r="K1372">
        <v>114</v>
      </c>
      <c t="s" s="30" r="L1372">
        <v>151</v>
      </c>
      <c s="30" r="M1372">
        <v>18</v>
      </c>
      <c s="26" r="N1372">
        <v>0.1</v>
      </c>
      <c s="23" r="O1372">
        <v>0.002</v>
      </c>
      <c s="7" r="P1372"/>
      <c s="7" r="Q1372"/>
      <c s="7" r="R1372">
        <f>IF((P1372&gt;0),O1372,0)</f>
        <v>0</v>
      </c>
      <c t="str" r="S1372">
        <f>CONCATENATE(F1372,E1372)</f>
        <v>NON FTLNON FTL</v>
      </c>
    </row>
    <row r="1373">
      <c t="s" s="7" r="A1373">
        <v>201</v>
      </c>
      <c s="7" r="B1373">
        <v>1400</v>
      </c>
      <c s="30" r="C1373">
        <v>42</v>
      </c>
      <c t="s" s="30" r="D1373">
        <v>147</v>
      </c>
      <c t="s" s="30" r="E1373">
        <v>4</v>
      </c>
      <c t="s" s="30" r="F1373">
        <v>4</v>
      </c>
      <c t="s" s="30" r="G1373">
        <v>246</v>
      </c>
      <c t="str" s="12" r="H1373">
        <f>HYPERLINK("http://sofifa.com/en/fifa13winter/player/150143-lucas-dawson","L. Dawson")</f>
        <v>L. Dawson</v>
      </c>
      <c s="30" r="I1373">
        <v>58</v>
      </c>
      <c t="s" s="30" r="J1373">
        <v>120</v>
      </c>
      <c t="s" s="30" r="K1373">
        <v>173</v>
      </c>
      <c t="s" s="30" r="L1373">
        <v>138</v>
      </c>
      <c s="30" r="M1373">
        <v>18</v>
      </c>
      <c s="26" r="N1373">
        <v>0.4</v>
      </c>
      <c s="23" r="O1373">
        <v>0.002</v>
      </c>
      <c s="7" r="P1373"/>
      <c s="7" r="Q1373"/>
      <c s="7" r="R1373">
        <f>IF((P1373&gt;0),O1373,0)</f>
        <v>0</v>
      </c>
      <c t="str" r="S1373">
        <f>CONCATENATE(F1373,E1373)</f>
        <v>NON FTLNON FTL</v>
      </c>
    </row>
    <row r="1374">
      <c t="s" s="7" r="A1374">
        <v>201</v>
      </c>
      <c s="7" r="B1374">
        <v>1401</v>
      </c>
      <c s="30" r="C1374">
        <v>43</v>
      </c>
      <c t="s" s="30" r="D1374">
        <v>147</v>
      </c>
      <c t="s" s="30" r="E1374">
        <v>4</v>
      </c>
      <c t="s" s="30" r="F1374">
        <v>4</v>
      </c>
      <c t="s" s="30" r="G1374">
        <v>246</v>
      </c>
      <c t="str" s="12" r="H1374">
        <f>HYPERLINK("http://sofifa.com/en/fifa13winter/player/150125-ben-glasgow","B. Glasgow")</f>
        <v>B. Glasgow</v>
      </c>
      <c s="30" r="I1374">
        <v>54</v>
      </c>
      <c t="s" s="30" r="J1374">
        <v>109</v>
      </c>
      <c t="s" s="30" r="K1374">
        <v>159</v>
      </c>
      <c t="s" s="30" r="L1374">
        <v>115</v>
      </c>
      <c s="30" r="M1374">
        <v>18</v>
      </c>
      <c s="26" r="N1374">
        <v>0.1</v>
      </c>
      <c s="23" r="O1374">
        <v>0.002</v>
      </c>
      <c s="7" r="P1374"/>
      <c s="7" r="Q1374"/>
      <c s="7" r="R1374">
        <f>IF((P1374&gt;0),O1374,0)</f>
        <v>0</v>
      </c>
      <c t="str" r="S1374">
        <f>CONCATENATE(F1374,E1374)</f>
        <v>NON FTLNON FTL</v>
      </c>
    </row>
    <row r="1375">
      <c t="s" s="7" r="A1375">
        <v>201</v>
      </c>
      <c s="7" r="B1375">
        <v>1402</v>
      </c>
      <c s="30" r="C1375">
        <v>41</v>
      </c>
      <c t="s" s="30" r="D1375">
        <v>147</v>
      </c>
      <c t="s" s="30" r="E1375">
        <v>4</v>
      </c>
      <c t="s" s="30" r="F1375">
        <v>4</v>
      </c>
      <c t="s" s="30" r="G1375">
        <v>246</v>
      </c>
      <c t="str" s="12" r="H1375">
        <f>HYPERLINK("http://sofifa.com/en/fifa13winter/player/150133-james-campbell","J. Campbell")</f>
        <v>J. Campbell</v>
      </c>
      <c s="30" r="I1375">
        <v>54</v>
      </c>
      <c t="s" s="30" r="J1375">
        <v>117</v>
      </c>
      <c t="s" s="30" r="K1375">
        <v>118</v>
      </c>
      <c t="s" s="30" r="L1375">
        <v>142</v>
      </c>
      <c s="30" r="M1375">
        <v>18</v>
      </c>
      <c s="26" r="N1375">
        <v>0.1</v>
      </c>
      <c s="23" r="O1375">
        <v>0.002</v>
      </c>
      <c s="7" r="P1375"/>
      <c s="7" r="Q1375"/>
      <c s="7" r="R1375">
        <f>IF((P1375&gt;0),O1375,0)</f>
        <v>0</v>
      </c>
      <c t="str" r="S1375">
        <f>CONCATENATE(F1375,E1375)</f>
        <v>NON FTLNON FTL</v>
      </c>
    </row>
    <row r="1376">
      <c t="s" s="7" r="A1376">
        <v>201</v>
      </c>
      <c s="7" r="B1376">
        <v>1403</v>
      </c>
      <c s="30" r="C1376">
        <v>14</v>
      </c>
      <c t="s" s="30" r="D1376">
        <v>147</v>
      </c>
      <c t="s" s="30" r="E1376">
        <v>4</v>
      </c>
      <c t="s" s="30" r="F1376">
        <v>4</v>
      </c>
      <c t="s" s="30" r="G1376">
        <v>246</v>
      </c>
      <c t="str" s="12" r="H1376">
        <f>HYPERLINK("http://sofifa.com/en/fifa13winter/player/149158-jamie-ness","J. Ness")</f>
        <v>J. Ness</v>
      </c>
      <c s="30" r="I1376">
        <v>68</v>
      </c>
      <c t="s" s="30" r="J1376">
        <v>124</v>
      </c>
      <c t="s" s="30" r="K1376">
        <v>159</v>
      </c>
      <c t="s" s="30" r="L1376">
        <v>142</v>
      </c>
      <c s="30" r="M1376">
        <v>21</v>
      </c>
      <c s="26" r="N1376">
        <v>1.7</v>
      </c>
      <c s="23" r="O1376">
        <v>0.005</v>
      </c>
      <c s="7" r="P1376"/>
      <c s="7" r="Q1376"/>
      <c s="7" r="R1376">
        <f>IF((P1376&gt;0),O1376,0)</f>
        <v>0</v>
      </c>
      <c t="str" r="S1376">
        <f>CONCATENATE(F1376,E1376)</f>
        <v>NON FTLNON FTL</v>
      </c>
    </row>
    <row r="1377">
      <c t="s" s="7" r="A1377">
        <v>201</v>
      </c>
      <c s="7" r="B1377">
        <v>1404</v>
      </c>
      <c s="30" r="C1377">
        <v>51</v>
      </c>
      <c t="s" s="30" r="D1377">
        <v>147</v>
      </c>
      <c t="s" s="30" r="E1377">
        <v>4</v>
      </c>
      <c t="s" s="30" r="F1377">
        <v>4</v>
      </c>
      <c t="s" s="30" r="G1377">
        <v>246</v>
      </c>
      <c t="str" s="12" r="H1377">
        <f>HYPERLINK("http://sofifa.com/en/fifa13winter/player/150505-james-alabi","J. Alabi")</f>
        <v>J. Alabi</v>
      </c>
      <c s="30" r="I1377">
        <v>61</v>
      </c>
      <c t="s" s="30" r="J1377">
        <v>129</v>
      </c>
      <c t="s" s="30" r="K1377">
        <v>143</v>
      </c>
      <c t="s" s="30" r="L1377">
        <v>151</v>
      </c>
      <c s="30" r="M1377">
        <v>17</v>
      </c>
      <c s="26" r="N1377">
        <v>0.8</v>
      </c>
      <c s="23" r="O1377">
        <v>0.003</v>
      </c>
      <c s="7" r="P1377"/>
      <c s="7" r="Q1377"/>
      <c s="7" r="R1377">
        <f>IF((P1377&gt;0),O1377,0)</f>
        <v>0</v>
      </c>
      <c t="str" r="S1377">
        <f>CONCATENATE(F1377,E1377)</f>
        <v>NON FTLNON FTL</v>
      </c>
    </row>
    <row r="1378">
      <c t="s" s="7" r="A1378">
        <v>201</v>
      </c>
      <c s="7" r="B1378">
        <v>1405</v>
      </c>
      <c s="30" r="C1378">
        <v>15</v>
      </c>
      <c t="s" s="30" r="D1378">
        <v>106</v>
      </c>
      <c t="s" s="30" r="E1378">
        <v>4</v>
      </c>
      <c t="s" s="30" r="F1378">
        <v>4</v>
      </c>
      <c t="s" s="30" r="G1378">
        <v>247</v>
      </c>
      <c t="str" s="12" r="H1378">
        <f>HYPERLINK("http://sofifa.com/en/fifa13winter/player/146921-rene-adler","R. Adler")</f>
        <v>R. Adler</v>
      </c>
      <c s="30" r="I1378">
        <v>84</v>
      </c>
      <c t="s" s="30" r="J1378">
        <v>106</v>
      </c>
      <c t="s" s="30" r="K1378">
        <v>144</v>
      </c>
      <c t="s" s="30" r="L1378">
        <v>192</v>
      </c>
      <c s="30" r="M1378">
        <v>27</v>
      </c>
      <c s="26" r="N1378">
        <v>14</v>
      </c>
      <c s="23" r="O1378">
        <v>0.083</v>
      </c>
      <c s="7" r="P1378"/>
      <c s="7" r="Q1378"/>
      <c s="7" r="R1378">
        <f>IF((P1378&gt;0),O1378,0)</f>
        <v>0</v>
      </c>
      <c t="str" r="S1378">
        <f>CONCATENATE(F1378,E1378)</f>
        <v>NON FTLNON FTL</v>
      </c>
    </row>
    <row r="1379">
      <c t="s" s="7" r="A1379">
        <v>201</v>
      </c>
      <c s="7" r="B1379">
        <v>1406</v>
      </c>
      <c s="30" r="C1379">
        <v>2</v>
      </c>
      <c t="s" s="30" r="D1379">
        <v>109</v>
      </c>
      <c t="s" s="30" r="E1379">
        <v>4</v>
      </c>
      <c t="s" s="30" r="F1379">
        <v>4</v>
      </c>
      <c t="s" s="30" r="G1379">
        <v>247</v>
      </c>
      <c t="str" s="12" r="H1379">
        <f>HYPERLINK("http://sofifa.com/en/fifa13winter/player/148660-dennis-diekmeier","D. Diekmeier")</f>
        <v>D. Diekmeier</v>
      </c>
      <c s="30" r="I1379">
        <v>73</v>
      </c>
      <c t="s" s="30" r="J1379">
        <v>109</v>
      </c>
      <c t="s" s="30" r="K1379">
        <v>134</v>
      </c>
      <c t="s" s="30" r="L1379">
        <v>158</v>
      </c>
      <c s="30" r="M1379">
        <v>22</v>
      </c>
      <c s="26" r="N1379">
        <v>3.3</v>
      </c>
      <c s="23" r="O1379">
        <v>0.009</v>
      </c>
      <c s="7" r="P1379"/>
      <c s="7" r="Q1379"/>
      <c s="7" r="R1379">
        <f>IF((P1379&gt;0),O1379,0)</f>
        <v>0</v>
      </c>
      <c t="str" r="S1379">
        <f>CONCATENATE(F1379,E1379)</f>
        <v>NON FTLNON FTL</v>
      </c>
    </row>
    <row r="1380">
      <c t="s" s="7" r="A1380">
        <v>201</v>
      </c>
      <c s="7" r="B1380">
        <v>1407</v>
      </c>
      <c s="30" r="C1380">
        <v>4</v>
      </c>
      <c t="s" s="30" r="D1380">
        <v>112</v>
      </c>
      <c t="s" s="30" r="E1380">
        <v>4</v>
      </c>
      <c t="s" s="30" r="F1380">
        <v>4</v>
      </c>
      <c t="s" s="30" r="G1380">
        <v>247</v>
      </c>
      <c t="str" s="12" r="H1380">
        <f>HYPERLINK("http://sofifa.com/en/fifa13winter/player/146401-heiko-westermann","H. Westermann")</f>
        <v>H. Westermann</v>
      </c>
      <c s="30" r="I1380">
        <v>77</v>
      </c>
      <c t="s" s="30" r="J1380">
        <v>113</v>
      </c>
      <c t="s" s="30" r="K1380">
        <v>152</v>
      </c>
      <c t="s" s="30" r="L1380">
        <v>192</v>
      </c>
      <c s="30" r="M1380">
        <v>29</v>
      </c>
      <c s="26" r="N1380">
        <v>5</v>
      </c>
      <c s="23" r="O1380">
        <v>0.018</v>
      </c>
      <c s="7" r="P1380"/>
      <c s="7" r="Q1380"/>
      <c s="7" r="R1380">
        <f>IF((P1380&gt;0),O1380,0)</f>
        <v>0</v>
      </c>
      <c t="str" r="S1380">
        <f>CONCATENATE(F1380,E1380)</f>
        <v>NON FTLNON FTL</v>
      </c>
    </row>
    <row r="1381">
      <c t="s" s="7" r="A1381">
        <v>201</v>
      </c>
      <c s="7" r="B1381">
        <v>1408</v>
      </c>
      <c s="30" r="C1381">
        <v>24</v>
      </c>
      <c t="s" s="30" r="D1381">
        <v>116</v>
      </c>
      <c t="s" s="30" r="E1381">
        <v>4</v>
      </c>
      <c t="s" s="30" r="F1381">
        <v>4</v>
      </c>
      <c t="s" s="30" r="G1381">
        <v>247</v>
      </c>
      <c t="str" s="12" r="H1381">
        <f>HYPERLINK("http://sofifa.com/en/fifa13winter/player/148401-slobodan-rajkovic","S. Rajković")</f>
        <v>S. Rajković</v>
      </c>
      <c s="30" r="I1381">
        <v>71</v>
      </c>
      <c t="s" s="30" r="J1381">
        <v>113</v>
      </c>
      <c t="s" s="30" r="K1381">
        <v>144</v>
      </c>
      <c t="s" s="30" r="L1381">
        <v>175</v>
      </c>
      <c s="30" r="M1381">
        <v>23</v>
      </c>
      <c s="26" r="N1381">
        <v>2.5</v>
      </c>
      <c s="23" r="O1381">
        <v>0.007</v>
      </c>
      <c s="7" r="P1381"/>
      <c s="7" r="Q1381"/>
      <c s="7" r="R1381">
        <f>IF((P1381&gt;0),O1381,0)</f>
        <v>0</v>
      </c>
      <c t="str" r="S1381">
        <f>CONCATENATE(F1381,E1381)</f>
        <v>NON FTLNON FTL</v>
      </c>
    </row>
    <row r="1382">
      <c t="s" s="7" r="A1382">
        <v>201</v>
      </c>
      <c s="7" r="B1382">
        <v>1409</v>
      </c>
      <c s="30" r="C1382">
        <v>7</v>
      </c>
      <c t="s" s="30" r="D1382">
        <v>117</v>
      </c>
      <c t="s" s="30" r="E1382">
        <v>4</v>
      </c>
      <c t="s" s="30" r="F1382">
        <v>4</v>
      </c>
      <c t="s" s="30" r="G1382">
        <v>247</v>
      </c>
      <c t="str" s="12" r="H1382">
        <f>HYPERLINK("http://sofifa.com/en/fifa13winter/player/147214-marcell-jansen","M. Jansen")</f>
        <v>M. Jansen</v>
      </c>
      <c s="30" r="I1382">
        <v>74</v>
      </c>
      <c t="s" s="30" r="J1382">
        <v>117</v>
      </c>
      <c t="s" s="30" r="K1382">
        <v>144</v>
      </c>
      <c t="s" s="30" r="L1382">
        <v>191</v>
      </c>
      <c s="30" r="M1382">
        <v>26</v>
      </c>
      <c s="26" r="N1382">
        <v>3.1</v>
      </c>
      <c s="23" r="O1382">
        <v>0.011</v>
      </c>
      <c s="7" r="P1382"/>
      <c s="7" r="Q1382"/>
      <c s="7" r="R1382">
        <f>IF((P1382&gt;0),O1382,0)</f>
        <v>0</v>
      </c>
      <c t="str" r="S1382">
        <f>CONCATENATE(F1382,E1382)</f>
        <v>NON FTLNON FTL</v>
      </c>
    </row>
    <row r="1383">
      <c t="s" s="7" r="A1383">
        <v>201</v>
      </c>
      <c s="7" r="B1383">
        <v>1410</v>
      </c>
      <c s="30" r="C1383">
        <v>8</v>
      </c>
      <c t="s" s="30" r="D1383">
        <v>186</v>
      </c>
      <c t="s" s="30" r="E1383">
        <v>4</v>
      </c>
      <c t="s" s="30" r="F1383">
        <v>4</v>
      </c>
      <c t="s" s="30" r="G1383">
        <v>247</v>
      </c>
      <c t="str" s="12" r="H1383">
        <f>HYPERLINK("http://sofifa.com/en/fifa13winter/player/148014-tomas-rincon","T. Rincón")</f>
        <v>T. Rincón</v>
      </c>
      <c s="30" r="I1383">
        <v>74</v>
      </c>
      <c t="s" s="30" r="J1383">
        <v>154</v>
      </c>
      <c t="s" s="30" r="K1383">
        <v>139</v>
      </c>
      <c t="s" s="30" r="L1383">
        <v>151</v>
      </c>
      <c s="30" r="M1383">
        <v>24</v>
      </c>
      <c s="26" r="N1383">
        <v>3.2</v>
      </c>
      <c s="23" r="O1383">
        <v>0.011</v>
      </c>
      <c s="7" r="P1383"/>
      <c s="7" r="Q1383"/>
      <c s="7" r="R1383">
        <f>IF((P1383&gt;0),O1383,0)</f>
        <v>0</v>
      </c>
      <c t="str" r="S1383">
        <f>CONCATENATE(F1383,E1383)</f>
        <v>NON FTLNON FTL</v>
      </c>
    </row>
    <row r="1384">
      <c t="s" s="7" r="A1384">
        <v>201</v>
      </c>
      <c s="7" r="B1384">
        <v>1411</v>
      </c>
      <c s="30" r="C1384">
        <v>14</v>
      </c>
      <c t="s" s="30" r="D1384">
        <v>174</v>
      </c>
      <c t="s" s="30" r="E1384">
        <v>4</v>
      </c>
      <c t="s" s="30" r="F1384">
        <v>4</v>
      </c>
      <c t="s" s="30" r="G1384">
        <v>247</v>
      </c>
      <c t="str" s="12" r="H1384">
        <f>HYPERLINK("http://sofifa.com/en/fifa13winter/player/148423-milan-badelj","M. Badelj")</f>
        <v>M. Badelj</v>
      </c>
      <c s="30" r="I1384">
        <v>76</v>
      </c>
      <c t="s" s="30" r="J1384">
        <v>124</v>
      </c>
      <c t="s" s="30" r="K1384">
        <v>173</v>
      </c>
      <c t="s" s="30" r="L1384">
        <v>137</v>
      </c>
      <c s="30" r="M1384">
        <v>23</v>
      </c>
      <c s="26" r="N1384">
        <v>5.1</v>
      </c>
      <c s="23" r="O1384">
        <v>0.014</v>
      </c>
      <c s="7" r="P1384"/>
      <c s="7" r="Q1384"/>
      <c s="7" r="R1384">
        <f>IF((P1384&gt;0),O1384,0)</f>
        <v>0</v>
      </c>
      <c t="str" r="S1384">
        <f>CONCATENATE(F1384,E1384)</f>
        <v>NON FTLNON FTL</v>
      </c>
    </row>
    <row r="1385">
      <c t="s" s="7" r="A1385">
        <v>201</v>
      </c>
      <c s="7" r="B1385">
        <v>1412</v>
      </c>
      <c s="30" r="C1385">
        <v>40</v>
      </c>
      <c t="s" s="30" r="D1385">
        <v>120</v>
      </c>
      <c t="s" s="30" r="E1385">
        <v>4</v>
      </c>
      <c t="s" s="30" r="F1385">
        <v>4</v>
      </c>
      <c t="s" s="30" r="G1385">
        <v>247</v>
      </c>
      <c t="str" s="12" r="H1385">
        <f>HYPERLINK("http://sofifa.com/en/fifa13winter/player/149652-heung-min-son","H. Son")</f>
        <v>H. Son</v>
      </c>
      <c s="30" r="I1385">
        <v>75</v>
      </c>
      <c t="s" s="30" r="J1385">
        <v>129</v>
      </c>
      <c t="s" s="30" r="K1385">
        <v>110</v>
      </c>
      <c t="s" s="30" r="L1385">
        <v>137</v>
      </c>
      <c s="30" r="M1385">
        <v>20</v>
      </c>
      <c s="26" r="N1385">
        <v>5.6</v>
      </c>
      <c s="23" r="O1385">
        <v>0.011</v>
      </c>
      <c s="7" r="P1385"/>
      <c s="7" r="Q1385"/>
      <c s="7" r="R1385">
        <f>IF((P1385&gt;0),O1385,0)</f>
        <v>0</v>
      </c>
      <c t="str" r="S1385">
        <f>CONCATENATE(F1385,E1385)</f>
        <v>NON FTLNON FTL</v>
      </c>
    </row>
    <row r="1386">
      <c t="s" s="7" r="A1386">
        <v>201</v>
      </c>
      <c s="7" r="B1386">
        <v>1413</v>
      </c>
      <c s="30" r="C1386">
        <v>6</v>
      </c>
      <c t="s" s="30" r="D1386">
        <v>128</v>
      </c>
      <c t="s" s="30" r="E1386">
        <v>4</v>
      </c>
      <c t="s" s="30" r="F1386">
        <v>4</v>
      </c>
      <c t="s" s="30" r="G1386">
        <v>247</v>
      </c>
      <c t="str" s="12" r="H1386">
        <f>HYPERLINK("http://sofifa.com/en/fifa13winter/player/147650-dennis-aogo","D. Aogo")</f>
        <v>D. Aogo</v>
      </c>
      <c s="30" r="I1386">
        <v>75</v>
      </c>
      <c t="s" s="30" r="J1386">
        <v>124</v>
      </c>
      <c t="s" s="30" r="K1386">
        <v>167</v>
      </c>
      <c t="s" s="30" r="L1386">
        <v>179</v>
      </c>
      <c s="30" r="M1386">
        <v>25</v>
      </c>
      <c s="26" r="N1386">
        <v>4.1</v>
      </c>
      <c s="23" r="O1386">
        <v>0.013</v>
      </c>
      <c s="7" r="P1386"/>
      <c s="7" r="Q1386"/>
      <c s="7" r="R1386">
        <f>IF((P1386&gt;0),O1386,0)</f>
        <v>0</v>
      </c>
      <c t="str" r="S1386">
        <f>CONCATENATE(F1386,E1386)</f>
        <v>NON FTLNON FTL</v>
      </c>
    </row>
    <row r="1387">
      <c t="s" s="7" r="A1387">
        <v>201</v>
      </c>
      <c s="7" r="B1387">
        <v>1414</v>
      </c>
      <c s="30" r="C1387">
        <v>23</v>
      </c>
      <c t="s" s="30" r="D1387">
        <v>162</v>
      </c>
      <c t="s" s="30" r="E1387">
        <v>4</v>
      </c>
      <c t="s" s="30" r="F1387">
        <v>4</v>
      </c>
      <c t="s" s="30" r="G1387">
        <v>247</v>
      </c>
      <c t="str" s="12" r="H1387">
        <f>HYPERLINK("http://sofifa.com/en/fifa13winter/player/146217-rafael-van-der-vaart","R. van der Vaart")</f>
        <v>R. van der Vaart</v>
      </c>
      <c s="30" r="I1387">
        <v>84</v>
      </c>
      <c t="s" s="30" r="J1387">
        <v>162</v>
      </c>
      <c t="s" s="30" r="K1387">
        <v>172</v>
      </c>
      <c t="s" s="30" r="L1387">
        <v>160</v>
      </c>
      <c s="30" r="M1387">
        <v>29</v>
      </c>
      <c s="26" r="N1387">
        <v>20.4</v>
      </c>
      <c s="23" r="O1387">
        <v>0.09</v>
      </c>
      <c s="7" r="P1387"/>
      <c s="7" r="Q1387"/>
      <c s="7" r="R1387">
        <f>IF((P1387&gt;0),O1387,0)</f>
        <v>0</v>
      </c>
      <c t="str" r="S1387">
        <f>CONCATENATE(F1387,E1387)</f>
        <v>NON FTLNON FTL</v>
      </c>
    </row>
    <row r="1388">
      <c t="s" s="7" r="A1388">
        <v>201</v>
      </c>
      <c s="7" r="B1388">
        <v>1415</v>
      </c>
      <c s="30" r="C1388">
        <v>10</v>
      </c>
      <c t="s" s="30" r="D1388">
        <v>129</v>
      </c>
      <c t="s" s="30" r="E1388">
        <v>4</v>
      </c>
      <c t="s" s="30" r="F1388">
        <v>4</v>
      </c>
      <c t="s" s="30" r="G1388">
        <v>247</v>
      </c>
      <c t="str" s="12" r="H1388">
        <f>HYPERLINK("http://sofifa.com/en/fifa13winter/player/148014-artjoms-rudnevs","A. Rudnevs")</f>
        <v>A. Rudnevs</v>
      </c>
      <c s="30" r="I1388">
        <v>76</v>
      </c>
      <c t="s" s="30" r="J1388">
        <v>129</v>
      </c>
      <c t="s" s="30" r="K1388">
        <v>110</v>
      </c>
      <c t="s" s="30" r="L1388">
        <v>183</v>
      </c>
      <c s="30" r="M1388">
        <v>24</v>
      </c>
      <c s="26" r="N1388">
        <v>6</v>
      </c>
      <c s="23" r="O1388">
        <v>0.015</v>
      </c>
      <c s="7" r="P1388"/>
      <c s="7" r="Q1388"/>
      <c s="7" r="R1388">
        <f>IF((P1388&gt;0),O1388,0)</f>
        <v>0</v>
      </c>
      <c t="str" r="S1388">
        <f>CONCATENATE(F1388,E1388)</f>
        <v>NON FTLNON FTL</v>
      </c>
    </row>
    <row r="1389">
      <c t="s" s="7" r="A1389">
        <v>201</v>
      </c>
      <c s="7" r="B1389">
        <v>1416</v>
      </c>
      <c s="30" r="C1389">
        <v>22</v>
      </c>
      <c t="s" s="30" r="D1389">
        <v>136</v>
      </c>
      <c t="s" s="30" r="E1389">
        <v>4</v>
      </c>
      <c t="s" s="30" r="F1389">
        <v>4</v>
      </c>
      <c t="s" s="30" r="G1389">
        <v>247</v>
      </c>
      <c t="str" s="12" r="H1389">
        <f>HYPERLINK("http://sofifa.com/en/fifa13winter/player/149436-jacopo-sala","J. Sala")</f>
        <v>J. Sala</v>
      </c>
      <c s="30" r="I1389">
        <v>69</v>
      </c>
      <c t="s" s="30" r="J1389">
        <v>120</v>
      </c>
      <c t="s" s="30" r="K1389">
        <v>132</v>
      </c>
      <c t="s" s="30" r="L1389">
        <v>146</v>
      </c>
      <c s="30" r="M1389">
        <v>20</v>
      </c>
      <c s="26" r="N1389">
        <v>2</v>
      </c>
      <c s="23" r="O1389">
        <v>0.005</v>
      </c>
      <c s="7" r="P1389"/>
      <c s="7" r="Q1389"/>
      <c s="7" r="R1389">
        <f>IF((P1389&gt;0),O1389,0)</f>
        <v>0</v>
      </c>
      <c t="str" r="S1389">
        <f>CONCATENATE(F1389,E1389)</f>
        <v>NON FTLNON FTL</v>
      </c>
    </row>
    <row r="1390">
      <c t="s" s="7" r="A1390">
        <v>201</v>
      </c>
      <c s="7" r="B1390">
        <v>1417</v>
      </c>
      <c s="30" r="C1390">
        <v>5</v>
      </c>
      <c t="s" s="30" r="D1390">
        <v>136</v>
      </c>
      <c t="s" s="30" r="E1390">
        <v>4</v>
      </c>
      <c t="s" s="30" r="F1390">
        <v>4</v>
      </c>
      <c t="s" s="30" r="G1390">
        <v>247</v>
      </c>
      <c t="str" s="12" r="H1390">
        <f>HYPERLINK("http://sofifa.com/en/fifa13winter/player/149414-jeffrey-bruma","J. Bruma")</f>
        <v>J. Bruma</v>
      </c>
      <c s="30" r="I1390">
        <v>71</v>
      </c>
      <c t="s" s="30" r="J1390">
        <v>113</v>
      </c>
      <c t="s" s="30" r="K1390">
        <v>169</v>
      </c>
      <c t="s" s="30" r="L1390">
        <v>175</v>
      </c>
      <c s="30" r="M1390">
        <v>20</v>
      </c>
      <c s="26" r="N1390">
        <v>2.5</v>
      </c>
      <c s="23" r="O1390">
        <v>0.007</v>
      </c>
      <c s="7" r="P1390"/>
      <c s="7" r="Q1390"/>
      <c s="7" r="R1390">
        <f>IF((P1390&gt;0),O1390,0)</f>
        <v>0</v>
      </c>
      <c t="str" r="S1390">
        <f>CONCATENATE(F1390,E1390)</f>
        <v>NON FTLNON FTL</v>
      </c>
    </row>
    <row r="1391">
      <c t="s" s="7" r="A1391">
        <v>201</v>
      </c>
      <c s="7" r="B1391">
        <v>1418</v>
      </c>
      <c s="30" r="C1391">
        <v>21</v>
      </c>
      <c t="s" s="30" r="D1391">
        <v>136</v>
      </c>
      <c t="s" s="30" r="E1391">
        <v>4</v>
      </c>
      <c t="s" s="30" r="F1391">
        <v>4</v>
      </c>
      <c t="s" s="30" r="G1391">
        <v>247</v>
      </c>
      <c t="str" s="12" r="H1391">
        <f>HYPERLINK("http://sofifa.com/en/fifa13winter/player/148981-maximilian-beister","M. Beister")</f>
        <v>M. Beister</v>
      </c>
      <c s="30" r="I1391">
        <v>73</v>
      </c>
      <c t="s" s="30" r="J1391">
        <v>171</v>
      </c>
      <c t="s" s="30" r="K1391">
        <v>114</v>
      </c>
      <c t="s" s="30" r="L1391">
        <v>183</v>
      </c>
      <c s="30" r="M1391">
        <v>21</v>
      </c>
      <c s="26" r="N1391">
        <v>3.9</v>
      </c>
      <c s="23" r="O1391">
        <v>0.009</v>
      </c>
      <c s="7" r="P1391"/>
      <c s="7" r="Q1391"/>
      <c s="7" r="R1391">
        <f>IF((P1391&gt;0),O1391,0)</f>
        <v>0</v>
      </c>
      <c t="str" r="S1391">
        <f>CONCATENATE(F1391,E1391)</f>
        <v>NON FTLNON FTL</v>
      </c>
    </row>
    <row r="1392">
      <c t="s" s="7" r="A1392">
        <v>201</v>
      </c>
      <c s="7" r="B1392">
        <v>1419</v>
      </c>
      <c s="30" r="C1392">
        <v>17</v>
      </c>
      <c t="s" s="30" r="D1392">
        <v>136</v>
      </c>
      <c t="s" s="30" r="E1392">
        <v>4</v>
      </c>
      <c t="s" s="30" r="F1392">
        <v>4</v>
      </c>
      <c t="s" s="30" r="G1392">
        <v>247</v>
      </c>
      <c t="str" s="12" r="H1392">
        <f>HYPERLINK("http://sofifa.com/en/fifa13winter/player/149252-zhi-gin-lam","Z. Lam")</f>
        <v>Z. Lam</v>
      </c>
      <c s="30" r="I1392">
        <v>67</v>
      </c>
      <c t="s" s="30" r="J1392">
        <v>120</v>
      </c>
      <c t="s" s="30" r="K1392">
        <v>139</v>
      </c>
      <c t="s" s="30" r="L1392">
        <v>163</v>
      </c>
      <c s="30" r="M1392">
        <v>21</v>
      </c>
      <c s="26" r="N1392">
        <v>1.5</v>
      </c>
      <c s="23" r="O1392">
        <v>0.005</v>
      </c>
      <c s="7" r="P1392"/>
      <c s="7" r="Q1392"/>
      <c s="7" r="R1392">
        <f>IF((P1392&gt;0),O1392,0)</f>
        <v>0</v>
      </c>
      <c t="str" r="S1392">
        <f>CONCATENATE(F1392,E1392)</f>
        <v>NON FTLNON FTL</v>
      </c>
    </row>
    <row r="1393">
      <c t="s" s="7" r="A1393">
        <v>201</v>
      </c>
      <c s="7" r="B1393">
        <v>1420</v>
      </c>
      <c s="30" r="C1393">
        <v>19</v>
      </c>
      <c t="s" s="30" r="D1393">
        <v>136</v>
      </c>
      <c t="s" s="30" r="E1393">
        <v>4</v>
      </c>
      <c t="s" s="30" r="F1393">
        <v>4</v>
      </c>
      <c t="s" s="30" r="G1393">
        <v>247</v>
      </c>
      <c t="str" s="12" r="H1393">
        <f>HYPERLINK("http://sofifa.com/en/fifa13winter/player/147332-petr-jiracek","P. Jiráček")</f>
        <v>P. Jiráček</v>
      </c>
      <c s="30" r="I1393">
        <v>75</v>
      </c>
      <c t="s" s="30" r="J1393">
        <v>154</v>
      </c>
      <c t="s" s="30" r="K1393">
        <v>114</v>
      </c>
      <c t="s" s="30" r="L1393">
        <v>138</v>
      </c>
      <c s="30" r="M1393">
        <v>26</v>
      </c>
      <c s="26" r="N1393">
        <v>4.1</v>
      </c>
      <c s="23" r="O1393">
        <v>0.013</v>
      </c>
      <c s="7" r="P1393"/>
      <c s="7" r="Q1393"/>
      <c s="7" r="R1393">
        <f>IF((P1393&gt;0),O1393,0)</f>
        <v>0</v>
      </c>
      <c t="str" r="S1393">
        <f>CONCATENATE(F1393,E1393)</f>
        <v>NON FTLNON FTL</v>
      </c>
    </row>
    <row r="1394">
      <c t="s" s="7" r="A1394">
        <v>201</v>
      </c>
      <c s="7" r="B1394">
        <v>1421</v>
      </c>
      <c s="30" r="C1394">
        <v>18</v>
      </c>
      <c t="s" s="30" r="D1394">
        <v>136</v>
      </c>
      <c t="s" s="30" r="E1394">
        <v>4</v>
      </c>
      <c t="s" s="30" r="F1394">
        <v>4</v>
      </c>
      <c t="s" s="30" r="G1394">
        <v>247</v>
      </c>
      <c t="str" s="12" r="H1394">
        <f>HYPERLINK("http://sofifa.com/en/fifa13winter/player/148960-tolgay-arslan","T. Arslan")</f>
        <v>T. Arslan</v>
      </c>
      <c s="30" r="I1394">
        <v>71</v>
      </c>
      <c t="s" s="30" r="J1394">
        <v>124</v>
      </c>
      <c t="s" s="30" r="K1394">
        <v>114</v>
      </c>
      <c t="s" s="30" r="L1394">
        <v>138</v>
      </c>
      <c s="30" r="M1394">
        <v>22</v>
      </c>
      <c s="26" r="N1394">
        <v>2.3</v>
      </c>
      <c s="23" r="O1394">
        <v>0.007</v>
      </c>
      <c s="7" r="P1394"/>
      <c s="7" r="Q1394"/>
      <c s="7" r="R1394">
        <f>IF((P1394&gt;0),O1394,0)</f>
        <v>0</v>
      </c>
      <c t="str" r="S1394">
        <f>CONCATENATE(F1394,E1394)</f>
        <v>NON FTLNON FTL</v>
      </c>
    </row>
    <row r="1395">
      <c t="s" s="7" r="A1395">
        <v>201</v>
      </c>
      <c s="7" r="B1395">
        <v>1422</v>
      </c>
      <c s="30" r="C1395">
        <v>1</v>
      </c>
      <c t="s" s="30" r="D1395">
        <v>136</v>
      </c>
      <c t="s" s="30" r="E1395">
        <v>4</v>
      </c>
      <c t="s" s="30" r="F1395">
        <v>4</v>
      </c>
      <c t="s" s="30" r="G1395">
        <v>247</v>
      </c>
      <c t="str" s="12" r="H1395">
        <f>HYPERLINK("http://sofifa.com/en/fifa13winter/player/145005-jaroslav-drobny","J. Drobný")</f>
        <v>J. Drobný</v>
      </c>
      <c s="30" r="I1395">
        <v>77</v>
      </c>
      <c t="s" s="30" r="J1395">
        <v>106</v>
      </c>
      <c t="s" s="30" r="K1395">
        <v>165</v>
      </c>
      <c t="s" s="30" r="L1395">
        <v>178</v>
      </c>
      <c s="30" r="M1395">
        <v>32</v>
      </c>
      <c s="26" r="N1395">
        <v>3.5</v>
      </c>
      <c s="23" r="O1395">
        <v>0.02</v>
      </c>
      <c s="7" r="P1395"/>
      <c s="7" r="Q1395"/>
      <c s="7" r="R1395">
        <f>IF((P1395&gt;0),O1395,0)</f>
        <v>0</v>
      </c>
      <c t="str" r="S1395">
        <f>CONCATENATE(F1395,E1395)</f>
        <v>NON FTLNON FTL</v>
      </c>
    </row>
    <row r="1396">
      <c t="s" s="7" r="A1396">
        <v>201</v>
      </c>
      <c s="7" r="B1396">
        <v>1423</v>
      </c>
      <c s="30" r="C1396">
        <v>25</v>
      </c>
      <c t="s" s="30" r="D1396">
        <v>136</v>
      </c>
      <c t="s" s="30" r="E1396">
        <v>4</v>
      </c>
      <c t="s" s="30" r="F1396">
        <v>4</v>
      </c>
      <c t="s" s="30" r="G1396">
        <v>247</v>
      </c>
      <c t="str" s="12" r="H1396">
        <f>HYPERLINK("http://sofifa.com/en/fifa13winter/player/147803-per-ciljan-skjelbred","P. Skjelbred")</f>
        <v>P. Skjelbred</v>
      </c>
      <c s="30" r="I1396">
        <v>72</v>
      </c>
      <c t="s" s="30" r="J1396">
        <v>124</v>
      </c>
      <c t="s" s="30" r="K1396">
        <v>139</v>
      </c>
      <c t="s" s="30" r="L1396">
        <v>160</v>
      </c>
      <c s="30" r="M1396">
        <v>25</v>
      </c>
      <c s="26" r="N1396">
        <v>2.6</v>
      </c>
      <c s="23" r="O1396">
        <v>0.009</v>
      </c>
      <c s="7" r="P1396"/>
      <c s="7" r="Q1396"/>
      <c s="7" r="R1396">
        <f>IF((P1396&gt;0),O1396,0)</f>
        <v>0</v>
      </c>
      <c t="str" r="S1396">
        <f>CONCATENATE(F1396,E1396)</f>
        <v>NON FTLNON FTL</v>
      </c>
    </row>
    <row r="1397">
      <c t="s" s="7" r="A1397">
        <v>201</v>
      </c>
      <c s="7" r="B1397">
        <v>1424</v>
      </c>
      <c s="30" r="C1397">
        <v>3</v>
      </c>
      <c t="s" s="30" r="D1397">
        <v>136</v>
      </c>
      <c t="s" s="30" r="E1397">
        <v>4</v>
      </c>
      <c t="s" s="30" r="F1397">
        <v>4</v>
      </c>
      <c t="s" s="30" r="G1397">
        <v>247</v>
      </c>
      <c t="str" s="12" r="H1397">
        <f>HYPERLINK("http://sofifa.com/en/fifa13winter/player/148009-michael-mancienne","M. Mancienne")</f>
        <v>M. Mancienne</v>
      </c>
      <c s="30" r="I1397">
        <v>72</v>
      </c>
      <c t="s" s="30" r="J1397">
        <v>113</v>
      </c>
      <c t="s" s="30" r="K1397">
        <v>167</v>
      </c>
      <c t="s" s="30" r="L1397">
        <v>153</v>
      </c>
      <c s="30" r="M1397">
        <v>24</v>
      </c>
      <c s="26" r="N1397">
        <v>2.6</v>
      </c>
      <c s="23" r="O1397">
        <v>0.009</v>
      </c>
      <c s="7" r="P1397"/>
      <c s="7" r="Q1397"/>
      <c s="7" r="R1397">
        <f>IF((P1397&gt;0),O1397,0)</f>
        <v>0</v>
      </c>
      <c t="str" r="S1397">
        <f>CONCATENATE(F1397,E1397)</f>
        <v>NON FTLNON FTL</v>
      </c>
    </row>
    <row r="1398">
      <c t="s" s="7" r="A1398">
        <v>201</v>
      </c>
      <c s="7" r="B1398">
        <v>1425</v>
      </c>
      <c s="30" r="C1398">
        <v>16</v>
      </c>
      <c t="s" s="30" r="D1398">
        <v>136</v>
      </c>
      <c t="s" s="30" r="E1398">
        <v>4</v>
      </c>
      <c t="s" s="30" r="F1398">
        <v>4</v>
      </c>
      <c t="s" s="30" r="G1398">
        <v>247</v>
      </c>
      <c t="str" s="12" r="H1398">
        <f>HYPERLINK("http://sofifa.com/en/fifa13winter/player/147500-marcus-berg","M. Berg")</f>
        <v>M. Berg</v>
      </c>
      <c s="30" r="I1398">
        <v>71</v>
      </c>
      <c t="s" s="30" r="J1398">
        <v>129</v>
      </c>
      <c t="s" s="30" r="K1398">
        <v>167</v>
      </c>
      <c t="s" s="30" r="L1398">
        <v>160</v>
      </c>
      <c s="30" r="M1398">
        <v>26</v>
      </c>
      <c s="26" r="N1398">
        <v>2.6</v>
      </c>
      <c s="23" r="O1398">
        <v>0.008</v>
      </c>
      <c s="7" r="P1398"/>
      <c s="7" r="Q1398"/>
      <c s="7" r="R1398">
        <f>IF((P1398&gt;0),O1398,0)</f>
        <v>0</v>
      </c>
      <c t="str" r="S1398">
        <f>CONCATENATE(F1398,E1398)</f>
        <v>NON FTLNON FTL</v>
      </c>
    </row>
    <row r="1399">
      <c t="s" s="7" r="A1399">
        <v>201</v>
      </c>
      <c s="7" r="B1399">
        <v>1426</v>
      </c>
      <c s="30" r="C1399">
        <v>11</v>
      </c>
      <c t="s" s="30" r="D1399">
        <v>136</v>
      </c>
      <c t="s" s="30" r="E1399">
        <v>4</v>
      </c>
      <c t="s" s="30" r="F1399">
        <v>4</v>
      </c>
      <c t="s" s="30" r="G1399">
        <v>247</v>
      </c>
      <c t="str" s="12" r="H1399">
        <f>HYPERLINK("http://sofifa.com/en/fifa13winter/player/147589-ivo-ilicevic","I. Iličević")</f>
        <v>I. Iličević</v>
      </c>
      <c s="30" r="I1399">
        <v>74</v>
      </c>
      <c t="s" s="30" r="J1399">
        <v>128</v>
      </c>
      <c t="s" s="30" r="K1399">
        <v>182</v>
      </c>
      <c t="s" s="30" r="L1399">
        <v>168</v>
      </c>
      <c s="30" r="M1399">
        <v>25</v>
      </c>
      <c s="26" r="N1399">
        <v>3.5</v>
      </c>
      <c s="23" r="O1399">
        <v>0.011</v>
      </c>
      <c s="7" r="P1399"/>
      <c s="7" r="Q1399"/>
      <c s="7" r="R1399">
        <f>IF((P1399&gt;0),O1399,0)</f>
        <v>0</v>
      </c>
      <c t="str" r="S1399">
        <f>CONCATENATE(F1399,E1399)</f>
        <v>NON FTLNON FTL</v>
      </c>
    </row>
    <row r="1400">
      <c t="s" s="7" r="A1400">
        <v>201</v>
      </c>
      <c s="7" r="B1400">
        <v>1427</v>
      </c>
      <c s="30" r="C1400">
        <v>44</v>
      </c>
      <c t="s" s="30" r="D1400">
        <v>136</v>
      </c>
      <c t="s" s="30" r="E1400">
        <v>4</v>
      </c>
      <c t="s" s="30" r="F1400">
        <v>4</v>
      </c>
      <c t="s" s="30" r="G1400">
        <v>247</v>
      </c>
      <c t="str" s="12" r="H1400">
        <f>HYPERLINK("http://sofifa.com/en/fifa13winter/player/147662-gojko-kacar","G. Kačar")</f>
        <v>G. Kačar</v>
      </c>
      <c s="30" r="I1400">
        <v>73</v>
      </c>
      <c t="s" s="30" r="J1400">
        <v>154</v>
      </c>
      <c t="s" s="30" r="K1400">
        <v>132</v>
      </c>
      <c t="s" s="30" r="L1400">
        <v>156</v>
      </c>
      <c s="30" r="M1400">
        <v>25</v>
      </c>
      <c s="26" r="N1400">
        <v>2.8</v>
      </c>
      <c s="23" r="O1400">
        <v>0.01</v>
      </c>
      <c s="7" r="P1400"/>
      <c s="7" r="Q1400"/>
      <c s="7" r="R1400">
        <f>IF((P1400&gt;0),O1400,0)</f>
        <v>0</v>
      </c>
      <c t="str" r="S1400">
        <f>CONCATENATE(F1400,E1400)</f>
        <v>NON FTLNON FTL</v>
      </c>
    </row>
    <row r="1401">
      <c t="s" s="7" r="A1401">
        <v>201</v>
      </c>
      <c s="7" r="B1401">
        <v>1428</v>
      </c>
      <c s="30" r="C1401">
        <v>37</v>
      </c>
      <c t="s" s="30" r="D1401">
        <v>147</v>
      </c>
      <c t="s" s="30" r="E1401">
        <v>4</v>
      </c>
      <c t="s" s="30" r="F1401">
        <v>4</v>
      </c>
      <c t="s" s="30" r="G1401">
        <v>247</v>
      </c>
      <c t="str" s="12" r="H1401">
        <f>HYPERLINK("http://sofifa.com/en/fifa13winter/player/149755-janek-sternberg","J. Sternberg")</f>
        <v>J. Sternberg</v>
      </c>
      <c s="30" r="I1401">
        <v>61</v>
      </c>
      <c t="s" s="30" r="J1401">
        <v>113</v>
      </c>
      <c t="s" s="30" r="K1401">
        <v>150</v>
      </c>
      <c t="s" s="30" r="L1401">
        <v>161</v>
      </c>
      <c s="30" r="M1401">
        <v>19</v>
      </c>
      <c s="26" r="N1401">
        <v>0.7</v>
      </c>
      <c s="23" r="O1401">
        <v>0.003</v>
      </c>
      <c s="7" r="P1401"/>
      <c s="7" r="Q1401"/>
      <c s="7" r="R1401">
        <f>IF((P1401&gt;0),O1401,0)</f>
        <v>0</v>
      </c>
      <c t="str" r="S1401">
        <f>CONCATENATE(F1401,E1401)</f>
        <v>NON FTLNON FTL</v>
      </c>
    </row>
    <row r="1402">
      <c t="s" s="7" r="A1402">
        <v>201</v>
      </c>
      <c s="7" r="B1402">
        <v>1429</v>
      </c>
      <c s="30" r="C1402">
        <v>30</v>
      </c>
      <c t="s" s="30" r="D1402">
        <v>147</v>
      </c>
      <c t="s" s="30" r="E1402">
        <v>4</v>
      </c>
      <c t="s" s="30" r="F1402">
        <v>4</v>
      </c>
      <c t="s" s="30" r="G1402">
        <v>247</v>
      </c>
      <c t="str" s="12" r="H1402">
        <f>HYPERLINK("http://sofifa.com/en/fifa13winter/player/144443-sven-neuhaus","S. Neuhaus")</f>
        <v>S. Neuhaus</v>
      </c>
      <c s="30" r="I1402">
        <v>66</v>
      </c>
      <c t="s" s="30" r="J1402">
        <v>106</v>
      </c>
      <c t="s" s="30" r="K1402">
        <v>165</v>
      </c>
      <c t="s" s="30" r="L1402">
        <v>178</v>
      </c>
      <c s="30" r="M1402">
        <v>34</v>
      </c>
      <c s="26" r="N1402">
        <v>0.6</v>
      </c>
      <c s="23" r="O1402">
        <v>0.007</v>
      </c>
      <c s="7" r="P1402"/>
      <c s="7" r="Q1402"/>
      <c s="7" r="R1402">
        <f>IF((P1402&gt;0),O1402,0)</f>
        <v>0</v>
      </c>
      <c t="str" r="S1402">
        <f>CONCATENATE(F1402,E1402)</f>
        <v>NON FTLNON FTL</v>
      </c>
    </row>
    <row r="1403">
      <c t="s" s="7" r="A1403">
        <v>201</v>
      </c>
      <c s="7" r="B1403">
        <v>1430</v>
      </c>
      <c s="30" r="C1403">
        <v>33</v>
      </c>
      <c t="s" s="30" r="D1403">
        <v>147</v>
      </c>
      <c t="s" s="30" r="E1403">
        <v>4</v>
      </c>
      <c t="s" s="30" r="F1403">
        <v>4</v>
      </c>
      <c t="s" s="30" r="G1403">
        <v>247</v>
      </c>
      <c t="str" s="12" r="H1403">
        <f>HYPERLINK("http://sofifa.com/en/fifa13winter/player/150262-christian-norgaard","C. Nørgaard")</f>
        <v>C. Nørgaard</v>
      </c>
      <c s="30" r="I1403">
        <v>59</v>
      </c>
      <c t="s" s="30" r="J1403">
        <v>124</v>
      </c>
      <c t="s" s="30" r="K1403">
        <v>132</v>
      </c>
      <c t="s" s="30" r="L1403">
        <v>151</v>
      </c>
      <c s="30" r="M1403">
        <v>18</v>
      </c>
      <c s="26" r="N1403">
        <v>0.4</v>
      </c>
      <c s="23" r="O1403">
        <v>0.002</v>
      </c>
      <c s="7" r="P1403"/>
      <c s="7" r="Q1403"/>
      <c s="7" r="R1403">
        <f>IF((P1403&gt;0),O1403,0)</f>
        <v>0</v>
      </c>
      <c t="str" r="S1403">
        <f>CONCATENATE(F1403,E1403)</f>
        <v>NON FTLNON FTL</v>
      </c>
    </row>
    <row r="1404">
      <c t="s" s="7" r="A1404">
        <v>201</v>
      </c>
      <c s="7" r="B1404">
        <v>1431</v>
      </c>
      <c s="30" r="C1404">
        <v>32</v>
      </c>
      <c t="s" s="30" r="D1404">
        <v>147</v>
      </c>
      <c t="s" s="30" r="E1404">
        <v>4</v>
      </c>
      <c t="s" s="30" r="F1404">
        <v>4</v>
      </c>
      <c t="s" s="30" r="G1404">
        <v>247</v>
      </c>
      <c t="str" s="12" r="H1404">
        <f>HYPERLINK("http://sofifa.com/en/fifa13winter/player/150566-matti-steinmann","M. Steinmann")</f>
        <v>M. Steinmann</v>
      </c>
      <c s="30" r="I1404">
        <v>59</v>
      </c>
      <c t="s" s="30" r="J1404">
        <v>124</v>
      </c>
      <c t="s" s="30" r="K1404">
        <v>134</v>
      </c>
      <c t="s" s="30" r="L1404">
        <v>161</v>
      </c>
      <c s="30" r="M1404">
        <v>17</v>
      </c>
      <c s="26" r="N1404">
        <v>0.5</v>
      </c>
      <c s="23" r="O1404">
        <v>0.002</v>
      </c>
      <c s="7" r="P1404"/>
      <c s="7" r="Q1404"/>
      <c s="7" r="R1404">
        <f>IF((P1404&gt;0),O1404,0)</f>
        <v>0</v>
      </c>
      <c t="str" r="S1404">
        <f>CONCATENATE(F1404,E1404)</f>
        <v>NON FTLNON FTL</v>
      </c>
    </row>
    <row r="1405">
      <c t="s" s="7" r="A1405">
        <v>201</v>
      </c>
      <c s="7" r="B1405">
        <v>1432</v>
      </c>
      <c s="30" r="C1405">
        <v>34</v>
      </c>
      <c t="s" s="30" r="D1405">
        <v>147</v>
      </c>
      <c t="s" s="30" r="E1405">
        <v>4</v>
      </c>
      <c t="s" s="30" r="F1405">
        <v>4</v>
      </c>
      <c t="s" s="30" r="G1405">
        <v>247</v>
      </c>
      <c t="str" s="12" r="H1405">
        <f>HYPERLINK("http://sofifa.com/en/fifa13winter/player/150306-valmir-nafiu","V. Nafiu")</f>
        <v>V. Nafiu</v>
      </c>
      <c s="30" r="I1405">
        <v>61</v>
      </c>
      <c t="s" s="30" r="J1405">
        <v>171</v>
      </c>
      <c t="s" s="30" r="K1405">
        <v>139</v>
      </c>
      <c t="s" s="30" r="L1405">
        <v>164</v>
      </c>
      <c s="30" r="M1405">
        <v>18</v>
      </c>
      <c s="26" r="N1405">
        <v>0.8</v>
      </c>
      <c s="23" r="O1405">
        <v>0.003</v>
      </c>
      <c s="7" r="P1405"/>
      <c s="7" r="Q1405"/>
      <c s="7" r="R1405">
        <f>IF((P1405&gt;0),O1405,0)</f>
        <v>0</v>
      </c>
      <c t="str" r="S1405">
        <f>CONCATENATE(F1405,E1405)</f>
        <v>NON FTLNON FTL</v>
      </c>
    </row>
    <row r="1406">
      <c t="s" s="7" r="A1406">
        <v>201</v>
      </c>
      <c s="7" r="B1406">
        <v>1433</v>
      </c>
      <c s="30" r="C1406">
        <v>1</v>
      </c>
      <c t="s" s="30" r="D1406">
        <v>106</v>
      </c>
      <c t="s" s="30" r="E1406">
        <v>4</v>
      </c>
      <c t="s" s="30" r="F1406">
        <v>4</v>
      </c>
      <c t="s" s="30" r="G1406">
        <v>248</v>
      </c>
      <c t="str" s="12" r="H1406">
        <f>HYPERLINK("http://sofifa.com/en/fifa13winter/player/146725-michael-agazzi","M. Agazzi")</f>
        <v>M. Agazzi</v>
      </c>
      <c s="30" r="I1406">
        <v>75</v>
      </c>
      <c t="s" s="30" r="J1406">
        <v>106</v>
      </c>
      <c t="s" s="30" r="K1406">
        <v>169</v>
      </c>
      <c t="s" s="30" r="L1406">
        <v>179</v>
      </c>
      <c s="30" r="M1406">
        <v>28</v>
      </c>
      <c s="26" r="N1406">
        <v>3.3</v>
      </c>
      <c s="23" r="O1406">
        <v>0.013</v>
      </c>
      <c s="7" r="P1406"/>
      <c s="7" r="Q1406"/>
      <c s="7" r="R1406">
        <f>IF((P1406&gt;0),O1406,0)</f>
        <v>0</v>
      </c>
      <c t="str" r="S1406">
        <f>CONCATENATE(F1406,E1406)</f>
        <v>NON FTLNON FTL</v>
      </c>
    </row>
    <row r="1407">
      <c t="s" s="7" r="A1407">
        <v>201</v>
      </c>
      <c s="7" r="B1407">
        <v>1434</v>
      </c>
      <c s="30" r="C1407">
        <v>14</v>
      </c>
      <c t="s" s="30" r="D1407">
        <v>109</v>
      </c>
      <c t="s" s="30" r="E1407">
        <v>4</v>
      </c>
      <c t="s" s="30" r="F1407">
        <v>4</v>
      </c>
      <c t="s" s="30" r="G1407">
        <v>248</v>
      </c>
      <c t="str" s="12" r="H1407">
        <f>HYPERLINK("http://sofifa.com/en/fifa13winter/player/147390-francesco-pisano","F. Pisano")</f>
        <v>F. Pisano</v>
      </c>
      <c s="30" r="I1407">
        <v>73</v>
      </c>
      <c t="s" s="30" r="J1407">
        <v>109</v>
      </c>
      <c t="s" s="30" r="K1407">
        <v>182</v>
      </c>
      <c t="s" s="30" r="L1407">
        <v>163</v>
      </c>
      <c s="30" r="M1407">
        <v>26</v>
      </c>
      <c s="26" r="N1407">
        <v>3</v>
      </c>
      <c s="23" r="O1407">
        <v>0.01</v>
      </c>
      <c s="7" r="P1407"/>
      <c s="7" r="Q1407"/>
      <c s="7" r="R1407">
        <f>IF((P1407&gt;0),O1407,0)</f>
        <v>0</v>
      </c>
      <c t="str" r="S1407">
        <f>CONCATENATE(F1407,E1407)</f>
        <v>NON FTLNON FTL</v>
      </c>
    </row>
    <row r="1408">
      <c t="s" s="7" r="A1408">
        <v>201</v>
      </c>
      <c s="7" r="B1408">
        <v>1435</v>
      </c>
      <c s="30" r="C1408">
        <v>15</v>
      </c>
      <c t="s" s="30" r="D1408">
        <v>112</v>
      </c>
      <c t="s" s="30" r="E1408">
        <v>4</v>
      </c>
      <c t="s" s="30" r="F1408">
        <v>4</v>
      </c>
      <c t="s" s="30" r="G1408">
        <v>248</v>
      </c>
      <c t="str" s="12" r="H1408">
        <f>HYPERLINK("http://sofifa.com/en/fifa13winter/player/147035-luca-rossettini","L. Rossettini")</f>
        <v>L. Rossettini</v>
      </c>
      <c s="30" r="I1408">
        <v>74</v>
      </c>
      <c t="s" s="30" r="J1408">
        <v>113</v>
      </c>
      <c t="s" s="30" r="K1408">
        <v>155</v>
      </c>
      <c t="s" s="30" r="L1408">
        <v>193</v>
      </c>
      <c s="30" r="M1408">
        <v>27</v>
      </c>
      <c s="26" r="N1408">
        <v>3.2</v>
      </c>
      <c s="23" r="O1408">
        <v>0.011</v>
      </c>
      <c s="7" r="P1408"/>
      <c s="7" r="Q1408"/>
      <c s="7" r="R1408">
        <f>IF((P1408&gt;0),O1408,0)</f>
        <v>0</v>
      </c>
      <c t="str" r="S1408">
        <f>CONCATENATE(F1408,E1408)</f>
        <v>NON FTLNON FTL</v>
      </c>
    </row>
    <row r="1409">
      <c t="s" s="7" r="A1409">
        <v>201</v>
      </c>
      <c s="7" r="B1409">
        <v>1436</v>
      </c>
      <c s="30" r="C1409">
        <v>13</v>
      </c>
      <c t="s" s="30" r="D1409">
        <v>116</v>
      </c>
      <c t="s" s="30" r="E1409">
        <v>4</v>
      </c>
      <c t="s" s="30" r="F1409">
        <v>4</v>
      </c>
      <c t="s" s="30" r="G1409">
        <v>248</v>
      </c>
      <c t="str" s="12" r="H1409">
        <f>HYPERLINK("http://sofifa.com/en/fifa13winter/player/147643-davide-astori","D. Astori")</f>
        <v>D. Astori</v>
      </c>
      <c s="30" r="I1409">
        <v>80</v>
      </c>
      <c t="s" s="30" r="J1409">
        <v>113</v>
      </c>
      <c t="s" s="30" r="K1409">
        <v>134</v>
      </c>
      <c t="s" s="30" r="L1409">
        <v>153</v>
      </c>
      <c s="30" r="M1409">
        <v>25</v>
      </c>
      <c s="26" r="N1409">
        <v>9.6</v>
      </c>
      <c s="23" r="O1409">
        <v>0.03</v>
      </c>
      <c s="7" r="P1409"/>
      <c s="7" r="Q1409"/>
      <c s="7" r="R1409">
        <f>IF((P1409&gt;0),O1409,0)</f>
        <v>0</v>
      </c>
      <c t="str" r="S1409">
        <f>CONCATENATE(F1409,E1409)</f>
        <v>NON FTLNON FTL</v>
      </c>
    </row>
    <row r="1410">
      <c t="s" s="7" r="A1410">
        <v>201</v>
      </c>
      <c s="7" r="B1410">
        <v>1437</v>
      </c>
      <c s="30" r="C1410">
        <v>29</v>
      </c>
      <c t="s" s="30" r="D1410">
        <v>117</v>
      </c>
      <c t="s" s="30" r="E1410">
        <v>4</v>
      </c>
      <c t="s" s="30" r="F1410">
        <v>4</v>
      </c>
      <c t="s" s="30" r="G1410">
        <v>248</v>
      </c>
      <c t="str" s="12" r="H1410">
        <f>HYPERLINK("http://sofifa.com/en/fifa13winter/player/150543-nicola-murru","N. Murru")</f>
        <v>N. Murru</v>
      </c>
      <c s="30" r="I1410">
        <v>68</v>
      </c>
      <c t="s" s="30" r="J1410">
        <v>117</v>
      </c>
      <c t="s" s="30" r="K1410">
        <v>114</v>
      </c>
      <c t="s" s="30" r="L1410">
        <v>141</v>
      </c>
      <c s="30" r="M1410">
        <v>17</v>
      </c>
      <c s="26" r="N1410">
        <v>1.7</v>
      </c>
      <c s="23" r="O1410">
        <v>0.004</v>
      </c>
      <c s="7" r="P1410"/>
      <c s="7" r="Q1410"/>
      <c s="7" r="R1410">
        <f>IF((P1410&gt;0),O1410,0)</f>
        <v>0</v>
      </c>
      <c t="str" r="S1410">
        <f>CONCATENATE(F1410,E1410)</f>
        <v>NON FTLNON FTL</v>
      </c>
    </row>
    <row r="1411">
      <c t="s" s="7" r="A1411">
        <v>201</v>
      </c>
      <c s="7" r="B1411">
        <v>1438</v>
      </c>
      <c s="30" r="C1411">
        <v>21</v>
      </c>
      <c t="s" s="30" r="D1411">
        <v>123</v>
      </c>
      <c t="s" s="30" r="E1411">
        <v>4</v>
      </c>
      <c t="s" s="30" r="F1411">
        <v>4</v>
      </c>
      <c t="s" s="30" r="G1411">
        <v>248</v>
      </c>
      <c t="str" s="12" r="H1411">
        <f>HYPERLINK("http://sofifa.com/en/fifa13winter/player/147766-daniele-dessena","D. Dessena")</f>
        <v>D. Dessena</v>
      </c>
      <c s="30" r="I1411">
        <v>74</v>
      </c>
      <c t="s" s="30" r="J1411">
        <v>124</v>
      </c>
      <c t="s" s="30" r="K1411">
        <v>110</v>
      </c>
      <c t="s" s="30" r="L1411">
        <v>151</v>
      </c>
      <c s="30" r="M1411">
        <v>25</v>
      </c>
      <c s="26" r="N1411">
        <v>3.4</v>
      </c>
      <c s="23" r="O1411">
        <v>0.011</v>
      </c>
      <c s="7" r="P1411"/>
      <c s="7" r="Q1411"/>
      <c s="7" r="R1411">
        <f>IF((P1411&gt;0),O1411,0)</f>
        <v>0</v>
      </c>
      <c t="str" r="S1411">
        <f>CONCATENATE(F1411,E1411)</f>
        <v>NON FTLNON FTL</v>
      </c>
    </row>
    <row r="1412">
      <c t="s" s="7" r="A1412">
        <v>201</v>
      </c>
      <c s="7" r="B1412">
        <v>1439</v>
      </c>
      <c s="30" r="C1412">
        <v>5</v>
      </c>
      <c t="s" s="30" r="D1412">
        <v>124</v>
      </c>
      <c t="s" s="30" r="E1412">
        <v>4</v>
      </c>
      <c t="s" s="30" r="F1412">
        <v>4</v>
      </c>
      <c t="s" s="30" r="G1412">
        <v>248</v>
      </c>
      <c t="str" s="12" r="H1412">
        <f>HYPERLINK("http://sofifa.com/en/fifa13winter/player/144723-daniele-conti","D. Conti")</f>
        <v>D. Conti</v>
      </c>
      <c s="30" r="I1412">
        <v>75</v>
      </c>
      <c t="s" s="30" r="J1412">
        <v>154</v>
      </c>
      <c t="s" s="30" r="K1412">
        <v>118</v>
      </c>
      <c t="s" s="30" r="L1412">
        <v>142</v>
      </c>
      <c s="30" r="M1412">
        <v>33</v>
      </c>
      <c s="26" r="N1412">
        <v>2.7</v>
      </c>
      <c s="23" r="O1412">
        <v>0.016</v>
      </c>
      <c s="7" r="P1412"/>
      <c s="7" r="Q1412"/>
      <c s="7" r="R1412">
        <f>IF((P1412&gt;0),O1412,0)</f>
        <v>0</v>
      </c>
      <c t="str" r="S1412">
        <f>CONCATENATE(F1412,E1412)</f>
        <v>NON FTLNON FTL</v>
      </c>
    </row>
    <row r="1413">
      <c t="s" s="7" r="A1413">
        <v>201</v>
      </c>
      <c s="7" r="B1413">
        <v>1440</v>
      </c>
      <c s="30" r="C1413">
        <v>4</v>
      </c>
      <c t="s" s="30" r="D1413">
        <v>126</v>
      </c>
      <c t="s" s="30" r="E1413">
        <v>4</v>
      </c>
      <c t="s" s="30" r="F1413">
        <v>4</v>
      </c>
      <c t="s" s="30" r="G1413">
        <v>248</v>
      </c>
      <c t="str" s="12" r="H1413">
        <f>HYPERLINK("http://sofifa.com/en/fifa13winter/player/148126-radja-nainggolan","R. Nainggolan")</f>
        <v>R. Nainggolan</v>
      </c>
      <c s="30" r="I1413">
        <v>79</v>
      </c>
      <c t="s" s="30" r="J1413">
        <v>124</v>
      </c>
      <c t="s" s="30" r="K1413">
        <v>139</v>
      </c>
      <c t="s" s="30" r="L1413">
        <v>149</v>
      </c>
      <c s="30" r="M1413">
        <v>24</v>
      </c>
      <c s="26" r="N1413">
        <v>7.3</v>
      </c>
      <c s="23" r="O1413">
        <v>0.022</v>
      </c>
      <c s="7" r="P1413"/>
      <c s="7" r="Q1413"/>
      <c s="7" r="R1413">
        <f>IF((P1413&gt;0),O1413,0)</f>
        <v>0</v>
      </c>
      <c t="str" r="S1413">
        <f>CONCATENATE(F1413,E1413)</f>
        <v>NON FTLNON FTL</v>
      </c>
    </row>
    <row r="1414">
      <c t="s" s="7" r="A1414">
        <v>201</v>
      </c>
      <c s="7" r="B1414">
        <v>1441</v>
      </c>
      <c s="30" r="C1414">
        <v>7</v>
      </c>
      <c t="s" s="30" r="D1414">
        <v>162</v>
      </c>
      <c t="s" s="30" r="E1414">
        <v>4</v>
      </c>
      <c t="s" s="30" r="F1414">
        <v>4</v>
      </c>
      <c t="s" s="30" r="G1414">
        <v>248</v>
      </c>
      <c t="str" s="12" r="H1414">
        <f>HYPERLINK("http://sofifa.com/en/fifa13winter/player/145203-andrea-cossu","A. Cossu")</f>
        <v>A. Cossu</v>
      </c>
      <c s="30" r="I1414">
        <v>78</v>
      </c>
      <c t="s" s="30" r="J1414">
        <v>162</v>
      </c>
      <c t="s" s="30" r="K1414">
        <v>195</v>
      </c>
      <c t="s" s="30" r="L1414">
        <v>168</v>
      </c>
      <c s="30" r="M1414">
        <v>32</v>
      </c>
      <c s="26" r="N1414">
        <v>5.5</v>
      </c>
      <c s="23" r="O1414">
        <v>0.023</v>
      </c>
      <c s="7" r="P1414"/>
      <c s="7" r="Q1414"/>
      <c s="7" r="R1414">
        <f>IF((P1414&gt;0),O1414,0)</f>
        <v>0</v>
      </c>
      <c t="str" r="S1414">
        <f>CONCATENATE(F1414,E1414)</f>
        <v>NON FTLNON FTL</v>
      </c>
    </row>
    <row r="1415">
      <c t="s" s="7" r="A1415">
        <v>201</v>
      </c>
      <c s="7" r="B1415">
        <v>1442</v>
      </c>
      <c s="30" r="C1415">
        <v>23</v>
      </c>
      <c t="s" s="30" r="D1415">
        <v>131</v>
      </c>
      <c t="s" s="30" r="E1415">
        <v>4</v>
      </c>
      <c t="s" s="30" r="F1415">
        <v>4</v>
      </c>
      <c t="s" s="30" r="G1415">
        <v>248</v>
      </c>
      <c t="str" s="12" r="H1415">
        <f>HYPERLINK("http://sofifa.com/en/fifa13winter/player/148871-victor-ibarbo","V. Ibarbo")</f>
        <v>V. Ibarbo</v>
      </c>
      <c s="30" r="I1415">
        <v>77</v>
      </c>
      <c t="s" s="30" r="J1415">
        <v>129</v>
      </c>
      <c t="s" s="30" r="K1415">
        <v>134</v>
      </c>
      <c t="s" s="30" r="L1415">
        <v>161</v>
      </c>
      <c s="30" r="M1415">
        <v>22</v>
      </c>
      <c s="26" r="N1415">
        <v>8</v>
      </c>
      <c s="23" r="O1415">
        <v>0.015</v>
      </c>
      <c s="7" r="P1415"/>
      <c s="7" r="Q1415"/>
      <c s="7" r="R1415">
        <f>IF((P1415&gt;0),O1415,0)</f>
        <v>0</v>
      </c>
      <c t="str" r="S1415">
        <f>CONCATENATE(F1415,E1415)</f>
        <v>NON FTLNON FTL</v>
      </c>
    </row>
    <row r="1416">
      <c t="s" s="7" r="A1416">
        <v>201</v>
      </c>
      <c s="7" r="B1416">
        <v>1443</v>
      </c>
      <c s="30" r="C1416">
        <v>27</v>
      </c>
      <c t="s" s="30" r="D1416">
        <v>133</v>
      </c>
      <c t="s" s="30" r="E1416">
        <v>4</v>
      </c>
      <c t="s" s="30" r="F1416">
        <v>4</v>
      </c>
      <c t="s" s="30" r="G1416">
        <v>248</v>
      </c>
      <c t="str" s="12" r="H1416">
        <f>HYPERLINK("http://sofifa.com/en/fifa13winter/player/147943-marco-sau","M. Sau")</f>
        <v>M. Sau</v>
      </c>
      <c s="30" r="I1416">
        <v>76</v>
      </c>
      <c t="s" s="30" r="J1416">
        <v>129</v>
      </c>
      <c t="s" s="30" r="K1416">
        <v>205</v>
      </c>
      <c t="s" s="30" r="L1416">
        <v>149</v>
      </c>
      <c s="30" r="M1416">
        <v>24</v>
      </c>
      <c s="26" r="N1416">
        <v>6.9</v>
      </c>
      <c s="23" r="O1416">
        <v>0.015</v>
      </c>
      <c s="7" r="P1416"/>
      <c s="7" r="Q1416"/>
      <c s="7" r="R1416">
        <f>IF((P1416&gt;0),O1416,0)</f>
        <v>0</v>
      </c>
      <c t="str" r="S1416">
        <f>CONCATENATE(F1416,E1416)</f>
        <v>NON FTLNON FTL</v>
      </c>
    </row>
    <row r="1417">
      <c t="s" s="7" r="A1417">
        <v>201</v>
      </c>
      <c s="7" r="B1417">
        <v>1444</v>
      </c>
      <c s="30" r="C1417">
        <v>18</v>
      </c>
      <c t="s" s="30" r="D1417">
        <v>136</v>
      </c>
      <c t="s" s="30" r="E1417">
        <v>4</v>
      </c>
      <c t="s" s="30" r="F1417">
        <v>4</v>
      </c>
      <c t="s" s="30" r="G1417">
        <v>248</v>
      </c>
      <c t="str" s="12" r="H1417">
        <f>HYPERLINK("http://sofifa.com/en/fifa13winter/player/146384-anderson-miguel-da-silva","Nenê")</f>
        <v>Nenê</v>
      </c>
      <c s="30" r="I1417">
        <v>74</v>
      </c>
      <c t="s" s="30" r="J1417">
        <v>129</v>
      </c>
      <c t="s" s="30" r="K1417">
        <v>110</v>
      </c>
      <c t="s" s="30" r="L1417">
        <v>161</v>
      </c>
      <c s="30" r="M1417">
        <v>29</v>
      </c>
      <c s="26" r="N1417">
        <v>3.6</v>
      </c>
      <c s="23" r="O1417">
        <v>0.012</v>
      </c>
      <c s="7" r="P1417"/>
      <c s="7" r="Q1417"/>
      <c s="7" r="R1417">
        <f>IF((P1417&gt;0),O1417,0)</f>
        <v>0</v>
      </c>
      <c t="str" r="S1417">
        <f>CONCATENATE(F1417,E1417)</f>
        <v>NON FTLNON FTL</v>
      </c>
    </row>
    <row r="1418">
      <c t="s" s="7" r="A1418">
        <v>201</v>
      </c>
      <c s="7" r="B1418">
        <v>1445</v>
      </c>
      <c s="30" r="C1418">
        <v>35</v>
      </c>
      <c t="s" s="30" r="D1418">
        <v>136</v>
      </c>
      <c t="s" s="30" r="E1418">
        <v>4</v>
      </c>
      <c t="s" s="30" r="F1418">
        <v>4</v>
      </c>
      <c t="s" s="30" r="G1418">
        <v>248</v>
      </c>
      <c t="str" s="12" r="H1418">
        <f>HYPERLINK("http://sofifa.com/en/fifa13winter/player/150846-marco-russu","M. Russu")</f>
        <v>M. Russu</v>
      </c>
      <c s="30" r="I1418">
        <v>57</v>
      </c>
      <c t="s" s="30" r="J1418">
        <v>109</v>
      </c>
      <c t="s" s="30" r="K1418">
        <v>130</v>
      </c>
      <c t="s" s="30" r="L1418">
        <v>127</v>
      </c>
      <c s="30" r="M1418">
        <v>16</v>
      </c>
      <c s="26" r="N1418">
        <v>0.2</v>
      </c>
      <c s="23" r="O1418">
        <v>0.002</v>
      </c>
      <c s="7" r="P1418"/>
      <c s="7" r="Q1418"/>
      <c s="7" r="R1418">
        <f>IF((P1418&gt;0),O1418,0)</f>
        <v>0</v>
      </c>
      <c t="str" r="S1418">
        <f>CONCATENATE(F1418,E1418)</f>
        <v>NON FTLNON FTL</v>
      </c>
    </row>
    <row r="1419">
      <c t="s" s="7" r="A1419">
        <v>201</v>
      </c>
      <c s="7" r="B1419">
        <v>1446</v>
      </c>
      <c s="30" r="C1419">
        <v>33</v>
      </c>
      <c t="s" s="30" r="D1419">
        <v>136</v>
      </c>
      <c t="s" s="30" r="E1419">
        <v>4</v>
      </c>
      <c t="s" s="30" r="F1419">
        <v>4</v>
      </c>
      <c t="s" s="30" r="G1419">
        <v>248</v>
      </c>
      <c t="str" s="12" r="H1419">
        <f>HYPERLINK("http://sofifa.com/en/fifa13winter/player/150288-marco-piredda","M. Piredda")</f>
        <v>M. Piredda</v>
      </c>
      <c s="30" r="I1419">
        <v>63</v>
      </c>
      <c t="s" s="30" r="J1419">
        <v>162</v>
      </c>
      <c t="s" s="30" r="K1419">
        <v>182</v>
      </c>
      <c t="s" s="30" r="L1419">
        <v>160</v>
      </c>
      <c s="30" r="M1419">
        <v>18</v>
      </c>
      <c s="26" r="N1419">
        <v>1</v>
      </c>
      <c s="23" r="O1419">
        <v>0.003</v>
      </c>
      <c s="7" r="P1419"/>
      <c s="7" r="Q1419"/>
      <c s="7" r="R1419">
        <f>IF((P1419&gt;0),O1419,0)</f>
        <v>0</v>
      </c>
      <c t="str" r="S1419">
        <f>CONCATENATE(F1419,E1419)</f>
        <v>NON FTLNON FTL</v>
      </c>
    </row>
    <row r="1420">
      <c t="s" s="7" r="A1420">
        <v>201</v>
      </c>
      <c s="7" r="B1420">
        <v>1447</v>
      </c>
      <c s="30" r="C1420">
        <v>51</v>
      </c>
      <c t="s" s="30" r="D1420">
        <v>136</v>
      </c>
      <c t="s" s="30" r="E1420">
        <v>4</v>
      </c>
      <c t="s" s="30" r="F1420">
        <v>4</v>
      </c>
      <c t="s" s="30" r="G1420">
        <v>248</v>
      </c>
      <c t="str" s="12" r="H1420">
        <f>HYPERLINK("http://sofifa.com/en/fifa13winter/player/146575-mauricio-pinilla","M. Pinilla")</f>
        <v>M. Pinilla</v>
      </c>
      <c s="30" r="I1420">
        <v>77</v>
      </c>
      <c t="s" s="30" r="J1420">
        <v>129</v>
      </c>
      <c t="s" s="30" r="K1420">
        <v>155</v>
      </c>
      <c t="s" s="30" r="L1420">
        <v>161</v>
      </c>
      <c s="30" r="M1420">
        <v>28</v>
      </c>
      <c s="26" r="N1420">
        <v>6.4</v>
      </c>
      <c s="23" r="O1420">
        <v>0.017</v>
      </c>
      <c s="7" r="P1420"/>
      <c s="7" r="Q1420"/>
      <c s="7" r="R1420">
        <f>IF((P1420&gt;0),O1420,0)</f>
        <v>0</v>
      </c>
      <c t="str" r="S1420">
        <f>CONCATENATE(F1420,E1420)</f>
        <v>NON FTLNON FTL</v>
      </c>
    </row>
    <row r="1421">
      <c t="s" s="7" r="A1421">
        <v>201</v>
      </c>
      <c s="7" r="B1421">
        <v>1448</v>
      </c>
      <c s="30" r="C1421">
        <v>22</v>
      </c>
      <c t="s" s="30" r="D1421">
        <v>136</v>
      </c>
      <c t="s" s="30" r="E1421">
        <v>4</v>
      </c>
      <c t="s" s="30" r="F1421">
        <v>4</v>
      </c>
      <c t="s" s="30" r="G1421">
        <v>248</v>
      </c>
      <c t="str" s="12" r="H1421">
        <f>HYPERLINK("http://sofifa.com/en/fifa13winter/player/147407-matias-cabrera","M. Cabrera")</f>
        <v>M. Cabrera</v>
      </c>
      <c s="30" r="I1421">
        <v>72</v>
      </c>
      <c t="s" s="30" r="J1421">
        <v>162</v>
      </c>
      <c t="s" s="30" r="K1421">
        <v>159</v>
      </c>
      <c t="s" s="30" r="L1421">
        <v>111</v>
      </c>
      <c s="30" r="M1421">
        <v>26</v>
      </c>
      <c s="26" r="N1421">
        <v>2.9</v>
      </c>
      <c s="23" r="O1421">
        <v>0.009</v>
      </c>
      <c s="7" r="P1421"/>
      <c s="7" r="Q1421"/>
      <c s="7" r="R1421">
        <f>IF((P1421&gt;0),O1421,0)</f>
        <v>0</v>
      </c>
      <c t="str" r="S1421">
        <f>CONCATENATE(F1421,E1421)</f>
        <v>NON FTLNON FTL</v>
      </c>
    </row>
    <row r="1422">
      <c t="s" s="7" r="A1422">
        <v>201</v>
      </c>
      <c s="7" r="B1422">
        <v>1449</v>
      </c>
      <c s="30" r="C1422">
        <v>6</v>
      </c>
      <c t="s" s="30" r="D1422">
        <v>136</v>
      </c>
      <c t="s" s="30" r="E1422">
        <v>4</v>
      </c>
      <c t="s" s="30" r="F1422">
        <v>4</v>
      </c>
      <c t="s" s="30" r="G1422">
        <v>248</v>
      </c>
      <c t="str" s="12" r="H1422">
        <f>HYPERLINK("http://sofifa.com/en/fifa13winter/player/148586-federico-casarini","F. Casarini")</f>
        <v>F. Casarini</v>
      </c>
      <c s="30" r="I1422">
        <v>71</v>
      </c>
      <c t="s" s="30" r="J1422">
        <v>124</v>
      </c>
      <c t="s" s="30" r="K1422">
        <v>114</v>
      </c>
      <c t="s" s="30" r="L1422">
        <v>142</v>
      </c>
      <c s="30" r="M1422">
        <v>23</v>
      </c>
      <c s="26" r="N1422">
        <v>2.3</v>
      </c>
      <c s="23" r="O1422">
        <v>0.007</v>
      </c>
      <c s="7" r="P1422"/>
      <c s="7" r="Q1422"/>
      <c s="7" r="R1422">
        <f>IF((P1422&gt;0),O1422,0)</f>
        <v>0</v>
      </c>
      <c t="str" r="S1422">
        <f>CONCATENATE(F1422,E1422)</f>
        <v>NON FTLNON FTL</v>
      </c>
    </row>
    <row r="1423">
      <c t="s" s="7" r="A1423">
        <v>201</v>
      </c>
      <c s="7" r="B1423">
        <v>1450</v>
      </c>
      <c s="30" r="C1423">
        <v>3</v>
      </c>
      <c t="s" s="30" r="D1423">
        <v>136</v>
      </c>
      <c t="s" s="30" r="E1423">
        <v>4</v>
      </c>
      <c t="s" s="30" r="F1423">
        <v>4</v>
      </c>
      <c t="s" s="30" r="G1423">
        <v>248</v>
      </c>
      <c t="str" s="12" r="H1423">
        <f>HYPERLINK("http://sofifa.com/en/fifa13winter/player/148529-lorenzo-ariaudo","L. Ariaudo")</f>
        <v>L. Ariaudo</v>
      </c>
      <c s="30" r="I1423">
        <v>74</v>
      </c>
      <c t="s" s="30" r="J1423">
        <v>113</v>
      </c>
      <c t="s" s="30" r="K1423">
        <v>173</v>
      </c>
      <c t="s" s="30" r="L1423">
        <v>142</v>
      </c>
      <c s="30" r="M1423">
        <v>23</v>
      </c>
      <c s="26" r="N1423">
        <v>3.5</v>
      </c>
      <c s="23" r="O1423">
        <v>0.01</v>
      </c>
      <c s="7" r="P1423"/>
      <c s="7" r="Q1423"/>
      <c s="7" r="R1423">
        <f>IF((P1423&gt;0),O1423,0)</f>
        <v>0</v>
      </c>
      <c t="str" r="S1423">
        <f>CONCATENATE(F1423,E1423)</f>
        <v>NON FTLNON FTL</v>
      </c>
    </row>
    <row r="1424">
      <c t="s" s="7" r="A1424">
        <v>201</v>
      </c>
      <c s="7" r="B1424">
        <v>1451</v>
      </c>
      <c s="30" r="C1424">
        <v>19</v>
      </c>
      <c t="s" s="30" r="D1424">
        <v>136</v>
      </c>
      <c t="s" s="30" r="E1424">
        <v>4</v>
      </c>
      <c t="s" s="30" r="F1424">
        <v>4</v>
      </c>
      <c t="s" s="30" r="G1424">
        <v>248</v>
      </c>
      <c t="str" s="12" r="H1424">
        <f>HYPERLINK("http://sofifa.com/en/fifa13winter/player/147326-thiago-ribeiro-cardoso","Thiago Ribeiro")</f>
        <v>Thiago Ribeiro</v>
      </c>
      <c s="30" r="I1424">
        <v>75</v>
      </c>
      <c t="s" s="30" r="J1424">
        <v>129</v>
      </c>
      <c t="s" s="30" r="K1424">
        <v>167</v>
      </c>
      <c t="s" s="30" r="L1424">
        <v>146</v>
      </c>
      <c s="30" r="M1424">
        <v>26</v>
      </c>
      <c s="26" r="N1424">
        <v>4.9</v>
      </c>
      <c s="23" r="O1424">
        <v>0.013</v>
      </c>
      <c s="7" r="P1424"/>
      <c s="7" r="Q1424"/>
      <c s="7" r="R1424">
        <f>IF((P1424&gt;0),O1424,0)</f>
        <v>0</v>
      </c>
      <c t="str" r="S1424">
        <f>CONCATENATE(F1424,E1424)</f>
        <v>NON FTLNON FTL</v>
      </c>
    </row>
    <row r="1425">
      <c t="s" s="7" r="A1425">
        <v>201</v>
      </c>
      <c s="7" r="B1425">
        <v>1452</v>
      </c>
      <c s="30" r="C1425">
        <v>20</v>
      </c>
      <c t="s" s="30" r="D1425">
        <v>136</v>
      </c>
      <c t="s" s="30" r="E1425">
        <v>4</v>
      </c>
      <c t="s" s="30" r="F1425">
        <v>4</v>
      </c>
      <c t="s" s="30" r="G1425">
        <v>248</v>
      </c>
      <c t="str" s="12" r="H1425">
        <f>HYPERLINK("http://sofifa.com/en/fifa13winter/player/148576-albin-ekdal","A. Ekdal")</f>
        <v>A. Ekdal</v>
      </c>
      <c s="30" r="I1425">
        <v>75</v>
      </c>
      <c t="s" s="30" r="J1425">
        <v>124</v>
      </c>
      <c t="s" s="30" r="K1425">
        <v>173</v>
      </c>
      <c t="s" s="30" r="L1425">
        <v>193</v>
      </c>
      <c s="30" r="M1425">
        <v>23</v>
      </c>
      <c s="26" r="N1425">
        <v>4.3</v>
      </c>
      <c s="23" r="O1425">
        <v>0.012</v>
      </c>
      <c s="7" r="P1425"/>
      <c s="7" r="Q1425"/>
      <c s="7" r="R1425">
        <f>IF((P1425&gt;0),O1425,0)</f>
        <v>0</v>
      </c>
      <c t="str" r="S1425">
        <f>CONCATENATE(F1425,E1425)</f>
        <v>NON FTLNON FTL</v>
      </c>
    </row>
    <row r="1426">
      <c t="s" s="7" r="A1426">
        <v>201</v>
      </c>
      <c s="7" r="B1426">
        <v>1453</v>
      </c>
      <c s="30" r="C1426">
        <v>24</v>
      </c>
      <c t="s" s="30" r="D1426">
        <v>136</v>
      </c>
      <c t="s" s="30" r="E1426">
        <v>4</v>
      </c>
      <c t="s" s="30" r="F1426">
        <v>4</v>
      </c>
      <c t="s" s="30" r="G1426">
        <v>248</v>
      </c>
      <c t="str" s="12" r="H1426">
        <f>HYPERLINK("http://sofifa.com/en/fifa13winter/player/146611-gabriele-perico","G. Perico")</f>
        <v>G. Perico</v>
      </c>
      <c s="30" r="I1426">
        <v>71</v>
      </c>
      <c t="s" s="30" r="J1426">
        <v>109</v>
      </c>
      <c t="s" s="30" r="K1426">
        <v>110</v>
      </c>
      <c t="s" s="30" r="L1426">
        <v>158</v>
      </c>
      <c s="30" r="M1426">
        <v>28</v>
      </c>
      <c s="26" r="N1426">
        <v>2</v>
      </c>
      <c s="23" r="O1426">
        <v>0.008</v>
      </c>
      <c s="7" r="P1426"/>
      <c s="7" r="Q1426"/>
      <c s="7" r="R1426">
        <f>IF((P1426&gt;0),O1426,0)</f>
        <v>0</v>
      </c>
      <c t="str" r="S1426">
        <f>CONCATENATE(F1426,E1426)</f>
        <v>NON FTLNON FTL</v>
      </c>
    </row>
    <row r="1427">
      <c t="s" s="7" r="A1427">
        <v>201</v>
      </c>
      <c s="7" r="B1427">
        <v>1454</v>
      </c>
      <c s="30" r="C1427">
        <v>25</v>
      </c>
      <c t="s" s="30" r="D1427">
        <v>136</v>
      </c>
      <c t="s" s="30" r="E1427">
        <v>4</v>
      </c>
      <c t="s" s="30" r="F1427">
        <v>4</v>
      </c>
      <c t="s" s="30" r="G1427">
        <v>248</v>
      </c>
      <c t="str" s="12" r="H1427">
        <f>HYPERLINK("http://sofifa.com/en/fifa13winter/player/144809-vlada-avramov","V. Avramov")</f>
        <v>V. Avramov</v>
      </c>
      <c s="30" r="I1427">
        <v>68</v>
      </c>
      <c t="s" s="30" r="J1427">
        <v>106</v>
      </c>
      <c t="s" s="30" r="K1427">
        <v>155</v>
      </c>
      <c t="s" s="30" r="L1427">
        <v>183</v>
      </c>
      <c s="30" r="M1427">
        <v>33</v>
      </c>
      <c s="26" r="N1427">
        <v>0.9</v>
      </c>
      <c s="23" r="O1427">
        <v>0.007</v>
      </c>
      <c s="7" r="P1427"/>
      <c s="7" r="Q1427"/>
      <c s="7" r="R1427">
        <f>IF((P1427&gt;0),O1427,0)</f>
        <v>0</v>
      </c>
      <c t="str" r="S1427">
        <f>CONCATENATE(F1427,E1427)</f>
        <v>NON FTLNON FTL</v>
      </c>
    </row>
    <row r="1428">
      <c t="s" s="7" r="A1428">
        <v>201</v>
      </c>
      <c s="7" r="B1428">
        <v>1455</v>
      </c>
      <c s="30" r="C1428">
        <v>16</v>
      </c>
      <c t="s" s="30" r="D1428">
        <v>136</v>
      </c>
      <c t="s" s="30" r="E1428">
        <v>4</v>
      </c>
      <c t="s" s="30" r="F1428">
        <v>4</v>
      </c>
      <c t="s" s="30" r="G1428">
        <v>248</v>
      </c>
      <c t="str" s="12" r="H1428">
        <f>HYPERLINK("http://sofifa.com/en/fifa13winter/player/148398-sebastian-eriksson","S. Eriksson")</f>
        <v>S. Eriksson</v>
      </c>
      <c s="30" r="I1428">
        <v>70</v>
      </c>
      <c t="s" s="30" r="J1428">
        <v>124</v>
      </c>
      <c t="s" s="30" r="K1428">
        <v>132</v>
      </c>
      <c t="s" s="30" r="L1428">
        <v>160</v>
      </c>
      <c s="30" r="M1428">
        <v>23</v>
      </c>
      <c s="26" r="N1428">
        <v>1.9</v>
      </c>
      <c s="23" r="O1428">
        <v>0.006</v>
      </c>
      <c s="7" r="P1428"/>
      <c s="7" r="Q1428"/>
      <c s="7" r="R1428">
        <f>IF((P1428&gt;0),O1428,0)</f>
        <v>0</v>
      </c>
      <c t="str" r="S1428">
        <f>CONCATENATE(F1428,E1428)</f>
        <v>NON FTLNON FTL</v>
      </c>
    </row>
    <row r="1429">
      <c t="s" s="7" r="A1429">
        <v>201</v>
      </c>
      <c s="7" r="B1429">
        <v>1456</v>
      </c>
      <c s="30" r="C1429">
        <v>36</v>
      </c>
      <c t="s" s="30" r="D1429">
        <v>147</v>
      </c>
      <c t="s" s="30" r="E1429">
        <v>4</v>
      </c>
      <c t="s" s="30" r="F1429">
        <v>4</v>
      </c>
      <c t="s" s="30" r="G1429">
        <v>248</v>
      </c>
      <c t="str" s="12" r="H1429">
        <f>HYPERLINK("http://sofifa.com/en/fifa13winter/player/149953-michele-chelo","M. Chelo")</f>
        <v>M. Chelo</v>
      </c>
      <c s="30" r="I1429">
        <v>60</v>
      </c>
      <c t="s" s="30" r="J1429">
        <v>129</v>
      </c>
      <c t="s" s="30" r="K1429">
        <v>172</v>
      </c>
      <c t="s" s="30" r="L1429">
        <v>115</v>
      </c>
      <c s="30" r="M1429">
        <v>19</v>
      </c>
      <c s="26" r="N1429">
        <v>0.7</v>
      </c>
      <c s="23" r="O1429">
        <v>0.003</v>
      </c>
      <c s="7" r="P1429"/>
      <c s="7" r="Q1429"/>
      <c s="7" r="R1429">
        <f>IF((P1429&gt;0),O1429,0)</f>
        <v>0</v>
      </c>
      <c t="str" r="S1429">
        <f>CONCATENATE(F1429,E1429)</f>
        <v>NON FTLNON FTL</v>
      </c>
    </row>
    <row r="1430">
      <c t="s" s="7" r="A1430">
        <v>201</v>
      </c>
      <c s="7" r="B1430">
        <v>1457</v>
      </c>
      <c s="30" r="C1430">
        <v>26</v>
      </c>
      <c t="s" s="30" r="D1430">
        <v>147</v>
      </c>
      <c t="s" s="30" r="E1430">
        <v>4</v>
      </c>
      <c t="s" s="30" r="F1430">
        <v>4</v>
      </c>
      <c t="s" s="30" r="G1430">
        <v>248</v>
      </c>
      <c t="str" s="12" r="H1430">
        <f>HYPERLINK("http://sofifa.com/en/fifa13winter/player/150017-riccardo-anedda","R. Anedda")</f>
        <v>R. Anedda</v>
      </c>
      <c s="30" r="I1430">
        <v>59</v>
      </c>
      <c t="s" s="30" r="J1430">
        <v>106</v>
      </c>
      <c t="s" s="30" r="K1430">
        <v>155</v>
      </c>
      <c t="s" s="30" r="L1430">
        <v>158</v>
      </c>
      <c s="30" r="M1430">
        <v>19</v>
      </c>
      <c s="26" r="N1430">
        <v>0.4</v>
      </c>
      <c s="23" r="O1430">
        <v>0.002</v>
      </c>
      <c s="7" r="P1430"/>
      <c s="7" r="Q1430"/>
      <c s="7" r="R1430">
        <f>IF((P1430&gt;0),O1430,0)</f>
        <v>0</v>
      </c>
      <c t="str" r="S1430">
        <f>CONCATENATE(F1430,E1430)</f>
        <v>NON FTLNON FTL</v>
      </c>
    </row>
    <row r="1431">
      <c t="s" s="7" r="A1431">
        <v>201</v>
      </c>
      <c s="7" r="B1431">
        <v>1458</v>
      </c>
      <c s="30" r="C1431">
        <v>34</v>
      </c>
      <c t="s" s="30" r="D1431">
        <v>147</v>
      </c>
      <c t="s" s="30" r="E1431">
        <v>4</v>
      </c>
      <c t="s" s="30" r="F1431">
        <v>4</v>
      </c>
      <c t="s" s="30" r="G1431">
        <v>248</v>
      </c>
      <c t="str" s="12" r="H1431">
        <f>HYPERLINK("http://sofifa.com/en/fifa13winter/player/150641-dario-del-fabro","D. Del Fabro")</f>
        <v>D. Del Fabro</v>
      </c>
      <c s="30" r="I1431">
        <v>63</v>
      </c>
      <c t="s" s="30" r="J1431">
        <v>113</v>
      </c>
      <c t="s" s="30" r="K1431">
        <v>114</v>
      </c>
      <c t="s" s="30" r="L1431">
        <v>151</v>
      </c>
      <c s="30" r="M1431">
        <v>17</v>
      </c>
      <c s="26" r="N1431">
        <v>0.9</v>
      </c>
      <c s="23" r="O1431">
        <v>0.003</v>
      </c>
      <c s="7" r="P1431"/>
      <c s="7" r="Q1431"/>
      <c s="7" r="R1431">
        <f>IF((P1431&gt;0),O1431,0)</f>
        <v>0</v>
      </c>
      <c t="str" r="S1431">
        <f>CONCATENATE(F1431,E1431)</f>
        <v>NON FTLNON FTL</v>
      </c>
    </row>
    <row r="1432">
      <c t="s" s="7" r="A1432">
        <v>201</v>
      </c>
      <c s="7" r="B1432">
        <v>1459</v>
      </c>
      <c s="30" r="C1432">
        <v>8</v>
      </c>
      <c t="s" s="30" r="D1432">
        <v>147</v>
      </c>
      <c t="s" s="30" r="E1432">
        <v>4</v>
      </c>
      <c t="s" s="30" r="F1432">
        <v>4</v>
      </c>
      <c t="s" s="30" r="G1432">
        <v>248</v>
      </c>
      <c t="str" s="12" r="H1432">
        <f>HYPERLINK("http://sofifa.com/en/fifa13winter/player/148527-danilo-fernando-avelar","Danilo Avelar")</f>
        <v>Danilo Avelar</v>
      </c>
      <c s="30" r="I1432">
        <v>73</v>
      </c>
      <c t="s" s="30" r="J1432">
        <v>117</v>
      </c>
      <c t="s" s="30" r="K1432">
        <v>132</v>
      </c>
      <c t="s" s="30" r="L1432">
        <v>151</v>
      </c>
      <c s="30" r="M1432">
        <v>23</v>
      </c>
      <c s="26" r="N1432">
        <v>2.9</v>
      </c>
      <c s="23" r="O1432">
        <v>0.009</v>
      </c>
      <c s="7" r="P1432"/>
      <c s="7" r="Q1432"/>
      <c s="7" r="R1432">
        <f>IF((P1432&gt;0),O1432,0)</f>
        <v>0</v>
      </c>
      <c t="str" r="S1432">
        <f>CONCATENATE(F1432,E1432)</f>
        <v>NON FTLNON FTL</v>
      </c>
    </row>
    <row r="1433">
      <c t="s" s="7" r="A1433">
        <v>201</v>
      </c>
      <c s="7" r="B1433">
        <v>1460</v>
      </c>
      <c s="30" r="C1433">
        <v>21</v>
      </c>
      <c t="s" s="30" r="D1433">
        <v>106</v>
      </c>
      <c t="s" s="30" r="E1433">
        <v>4</v>
      </c>
      <c t="s" s="30" r="F1433">
        <v>4</v>
      </c>
      <c t="s" s="30" r="G1433">
        <v>249</v>
      </c>
      <c t="str" s="12" r="H1433">
        <f>HYPERLINK("http://sofifa.com/en/fifa13winter/player/146386-mariano-andujar","M. Andújar")</f>
        <v>M. Andújar</v>
      </c>
      <c s="30" r="I1433">
        <v>76</v>
      </c>
      <c t="s" s="30" r="J1433">
        <v>106</v>
      </c>
      <c t="s" s="30" r="K1433">
        <v>188</v>
      </c>
      <c t="s" s="30" r="L1433">
        <v>175</v>
      </c>
      <c s="30" r="M1433">
        <v>29</v>
      </c>
      <c s="26" r="N1433">
        <v>3.7</v>
      </c>
      <c s="23" r="O1433">
        <v>0.016</v>
      </c>
      <c s="7" r="P1433"/>
      <c s="7" r="Q1433"/>
      <c s="7" r="R1433">
        <f>IF((P1433&gt;0),O1433,0)</f>
        <v>0</v>
      </c>
      <c t="str" r="S1433">
        <f>CONCATENATE(F1433,E1433)</f>
        <v>NON FTLNON FTL</v>
      </c>
    </row>
    <row r="1434">
      <c t="s" s="7" r="A1434">
        <v>201</v>
      </c>
      <c s="7" r="B1434">
        <v>1461</v>
      </c>
      <c s="30" r="C1434">
        <v>22</v>
      </c>
      <c t="s" s="30" r="D1434">
        <v>109</v>
      </c>
      <c t="s" s="30" r="E1434">
        <v>4</v>
      </c>
      <c t="s" s="30" r="F1434">
        <v>4</v>
      </c>
      <c t="s" s="30" r="G1434">
        <v>249</v>
      </c>
      <c t="str" s="12" r="H1434">
        <f>HYPERLINK("http://sofifa.com/en/fifa13winter/player/146648-pablo-alvarez","P. Álvarez")</f>
        <v>P. Álvarez</v>
      </c>
      <c s="30" r="I1434">
        <v>72</v>
      </c>
      <c t="s" s="30" r="J1434">
        <v>109</v>
      </c>
      <c t="s" s="30" r="K1434">
        <v>118</v>
      </c>
      <c t="s" s="30" r="L1434">
        <v>153</v>
      </c>
      <c s="30" r="M1434">
        <v>28</v>
      </c>
      <c s="26" r="N1434">
        <v>2.3</v>
      </c>
      <c s="23" r="O1434">
        <v>0.009</v>
      </c>
      <c s="7" r="P1434"/>
      <c s="7" r="Q1434"/>
      <c s="7" r="R1434">
        <f>IF((P1434&gt;0),O1434,0)</f>
        <v>0</v>
      </c>
      <c t="str" r="S1434">
        <f>CONCATENATE(F1434,E1434)</f>
        <v>NON FTLNON FTL</v>
      </c>
    </row>
    <row r="1435">
      <c t="s" s="7" r="A1435">
        <v>201</v>
      </c>
      <c s="7" r="B1435">
        <v>1462</v>
      </c>
      <c s="30" r="C1435">
        <v>6</v>
      </c>
      <c t="s" s="30" r="D1435">
        <v>112</v>
      </c>
      <c t="s" s="30" r="E1435">
        <v>4</v>
      </c>
      <c t="s" s="30" r="F1435">
        <v>4</v>
      </c>
      <c t="s" s="30" r="G1435">
        <v>249</v>
      </c>
      <c t="str" s="12" r="H1435">
        <f>HYPERLINK("http://sofifa.com/en/fifa13winter/player/143912-nicola-legrottaglie","N. Legrottaglie")</f>
        <v>N. Legrottaglie</v>
      </c>
      <c s="30" r="I1435">
        <v>78</v>
      </c>
      <c t="s" s="30" r="J1435">
        <v>113</v>
      </c>
      <c t="s" s="30" r="K1435">
        <v>169</v>
      </c>
      <c t="s" s="30" r="L1435">
        <v>179</v>
      </c>
      <c s="30" r="M1435">
        <v>35</v>
      </c>
      <c s="26" r="N1435">
        <v>3.8</v>
      </c>
      <c s="23" r="O1435">
        <v>0.024</v>
      </c>
      <c s="7" r="P1435"/>
      <c s="7" r="Q1435"/>
      <c s="7" r="R1435">
        <f>IF((P1435&gt;0),O1435,0)</f>
        <v>0</v>
      </c>
      <c t="str" r="S1435">
        <f>CONCATENATE(F1435,E1435)</f>
        <v>NON FTLNON FTL</v>
      </c>
    </row>
    <row r="1436">
      <c t="s" s="7" r="A1436">
        <v>201</v>
      </c>
      <c s="7" r="B1436">
        <v>1463</v>
      </c>
      <c s="30" r="C1436">
        <v>3</v>
      </c>
      <c t="s" s="30" r="D1436">
        <v>116</v>
      </c>
      <c t="s" s="30" r="E1436">
        <v>4</v>
      </c>
      <c t="s" s="30" r="F1436">
        <v>4</v>
      </c>
      <c t="s" s="30" r="G1436">
        <v>249</v>
      </c>
      <c t="str" s="12" r="H1436">
        <f>HYPERLINK("http://sofifa.com/en/fifa13winter/player/146226-nicolas-spolli","N. Spolli")</f>
        <v>N. Spolli</v>
      </c>
      <c s="30" r="I1436">
        <v>79</v>
      </c>
      <c t="s" s="30" r="J1436">
        <v>113</v>
      </c>
      <c t="s" s="30" r="K1436">
        <v>107</v>
      </c>
      <c t="s" s="30" r="L1436">
        <v>178</v>
      </c>
      <c s="30" r="M1436">
        <v>29</v>
      </c>
      <c s="26" r="N1436">
        <v>6.9</v>
      </c>
      <c s="23" r="O1436">
        <v>0.024</v>
      </c>
      <c s="7" r="P1436"/>
      <c s="7" r="Q1436"/>
      <c s="7" r="R1436">
        <f>IF((P1436&gt;0),O1436,0)</f>
        <v>0</v>
      </c>
      <c t="str" r="S1436">
        <f>CONCATENATE(F1436,E1436)</f>
        <v>NON FTLNON FTL</v>
      </c>
    </row>
    <row r="1437">
      <c t="s" s="7" r="A1437">
        <v>201</v>
      </c>
      <c s="7" r="B1437">
        <v>1464</v>
      </c>
      <c s="30" r="C1437">
        <v>12</v>
      </c>
      <c t="s" s="30" r="D1437">
        <v>117</v>
      </c>
      <c t="s" s="30" r="E1437">
        <v>4</v>
      </c>
      <c t="s" s="30" r="F1437">
        <v>4</v>
      </c>
      <c t="s" s="30" r="G1437">
        <v>249</v>
      </c>
      <c t="str" s="12" r="H1437">
        <f>HYPERLINK("http://sofifa.com/en/fifa13winter/player/146831-giovanni-marchese","G. Marchese")</f>
        <v>G. Marchese</v>
      </c>
      <c s="30" r="I1437">
        <v>73</v>
      </c>
      <c t="s" s="30" r="J1437">
        <v>117</v>
      </c>
      <c t="s" s="30" r="K1437">
        <v>150</v>
      </c>
      <c t="s" s="30" r="L1437">
        <v>137</v>
      </c>
      <c s="30" r="M1437">
        <v>27</v>
      </c>
      <c s="26" r="N1437">
        <v>2.7</v>
      </c>
      <c s="23" r="O1437">
        <v>0.01</v>
      </c>
      <c s="7" r="P1437"/>
      <c s="7" r="Q1437"/>
      <c s="7" r="R1437">
        <f>IF((P1437&gt;0),O1437,0)</f>
        <v>0</v>
      </c>
      <c t="str" r="S1437">
        <f>CONCATENATE(F1437,E1437)</f>
        <v>NON FTLNON FTL</v>
      </c>
    </row>
    <row r="1438">
      <c t="s" s="7" r="A1438">
        <v>201</v>
      </c>
      <c s="7" r="B1438">
        <v>1465</v>
      </c>
      <c s="30" r="C1438">
        <v>10</v>
      </c>
      <c t="s" s="30" r="D1438">
        <v>154</v>
      </c>
      <c t="s" s="30" r="E1438">
        <v>4</v>
      </c>
      <c t="s" s="30" r="F1438">
        <v>4</v>
      </c>
      <c t="s" s="30" r="G1438">
        <v>249</v>
      </c>
      <c t="str" s="12" r="H1438">
        <f>HYPERLINK("http://sofifa.com/en/fifa13winter/player/146623-francesco-lodi","F. Lodi")</f>
        <v>F. Lodi</v>
      </c>
      <c s="30" r="I1438">
        <v>79</v>
      </c>
      <c t="s" s="30" r="J1438">
        <v>124</v>
      </c>
      <c t="s" s="30" r="K1438">
        <v>143</v>
      </c>
      <c t="s" s="30" r="L1438">
        <v>151</v>
      </c>
      <c s="30" r="M1438">
        <v>28</v>
      </c>
      <c s="26" r="N1438">
        <v>7.3</v>
      </c>
      <c s="23" r="O1438">
        <v>0.023</v>
      </c>
      <c s="7" r="P1438"/>
      <c s="7" r="Q1438"/>
      <c s="7" r="R1438">
        <f>IF((P1438&gt;0),O1438,0)</f>
        <v>0</v>
      </c>
      <c t="str" r="S1438">
        <f>CONCATENATE(F1438,E1438)</f>
        <v>NON FTLNON FTL</v>
      </c>
    </row>
    <row r="1439">
      <c t="s" s="7" r="A1439">
        <v>201</v>
      </c>
      <c s="7" r="B1439">
        <v>1466</v>
      </c>
      <c s="30" r="C1439">
        <v>13</v>
      </c>
      <c t="s" s="30" r="D1439">
        <v>123</v>
      </c>
      <c t="s" s="30" r="E1439">
        <v>4</v>
      </c>
      <c t="s" s="30" r="F1439">
        <v>4</v>
      </c>
      <c t="s" s="30" r="G1439">
        <v>249</v>
      </c>
      <c t="str" s="12" r="H1439">
        <f>HYPERLINK("http://sofifa.com/en/fifa13winter/player/146247-mariano-izco","M. Izco")</f>
        <v>M. Izco</v>
      </c>
      <c s="30" r="I1439">
        <v>73</v>
      </c>
      <c t="s" s="30" r="J1439">
        <v>124</v>
      </c>
      <c t="s" s="30" r="K1439">
        <v>114</v>
      </c>
      <c t="s" s="30" r="L1439">
        <v>137</v>
      </c>
      <c s="30" r="M1439">
        <v>29</v>
      </c>
      <c s="26" r="N1439">
        <v>2.7</v>
      </c>
      <c s="23" r="O1439">
        <v>0.011</v>
      </c>
      <c s="7" r="P1439"/>
      <c s="7" r="Q1439"/>
      <c s="7" r="R1439">
        <f>IF((P1439&gt;0),O1439,0)</f>
        <v>0</v>
      </c>
      <c t="str" r="S1439">
        <f>CONCATENATE(F1439,E1439)</f>
        <v>NON FTLNON FTL</v>
      </c>
    </row>
    <row r="1440">
      <c t="s" s="7" r="A1440">
        <v>201</v>
      </c>
      <c s="7" r="B1440">
        <v>1467</v>
      </c>
      <c s="30" r="C1440">
        <v>27</v>
      </c>
      <c t="s" s="30" r="D1440">
        <v>126</v>
      </c>
      <c t="s" s="30" r="E1440">
        <v>4</v>
      </c>
      <c t="s" s="30" r="F1440">
        <v>4</v>
      </c>
      <c t="s" s="30" r="G1440">
        <v>249</v>
      </c>
      <c t="str" s="12" r="H1440">
        <f>HYPERLINK("http://sofifa.com/en/fifa13winter/player/146650-marco-biagianti","M. Biagianti")</f>
        <v>M. Biagianti</v>
      </c>
      <c s="30" r="I1440">
        <v>72</v>
      </c>
      <c t="s" s="30" r="J1440">
        <v>124</v>
      </c>
      <c t="s" s="30" r="K1440">
        <v>114</v>
      </c>
      <c t="s" s="30" r="L1440">
        <v>151</v>
      </c>
      <c s="30" r="M1440">
        <v>28</v>
      </c>
      <c s="26" r="N1440">
        <v>2.4</v>
      </c>
      <c s="23" r="O1440">
        <v>0.009</v>
      </c>
      <c s="7" r="P1440"/>
      <c s="7" r="Q1440"/>
      <c s="7" r="R1440">
        <f>IF((P1440&gt;0),O1440,0)</f>
        <v>0</v>
      </c>
      <c t="str" r="S1440">
        <f>CONCATENATE(F1440,E1440)</f>
        <v>NON FTLNON FTL</v>
      </c>
    </row>
    <row r="1441">
      <c t="s" s="7" r="A1441">
        <v>201</v>
      </c>
      <c s="7" r="B1441">
        <v>1468</v>
      </c>
      <c s="30" r="C1441">
        <v>28</v>
      </c>
      <c t="s" s="30" r="D1441">
        <v>157</v>
      </c>
      <c t="s" s="30" r="E1441">
        <v>4</v>
      </c>
      <c t="s" s="30" r="F1441">
        <v>4</v>
      </c>
      <c t="s" s="30" r="G1441">
        <v>249</v>
      </c>
      <c t="str" s="12" r="H1441">
        <f>HYPERLINK("http://sofifa.com/en/fifa13winter/player/146923-pablo-barrientos","P. Barrientos")</f>
        <v>P. Barrientos</v>
      </c>
      <c s="30" r="I1441">
        <v>79</v>
      </c>
      <c t="s" s="30" r="J1441">
        <v>157</v>
      </c>
      <c t="s" s="30" r="K1441">
        <v>172</v>
      </c>
      <c t="s" s="30" r="L1441">
        <v>111</v>
      </c>
      <c s="30" r="M1441">
        <v>27</v>
      </c>
      <c s="26" r="N1441">
        <v>7.7</v>
      </c>
      <c s="23" r="O1441">
        <v>0.022</v>
      </c>
      <c s="7" r="P1441"/>
      <c s="7" r="Q1441"/>
      <c s="7" r="R1441">
        <f>IF((P1441&gt;0),O1441,0)</f>
        <v>0</v>
      </c>
      <c t="str" r="S1441">
        <f>CONCATENATE(F1441,E1441)</f>
        <v>NON FTLNON FTL</v>
      </c>
    </row>
    <row r="1442">
      <c t="s" s="7" r="A1442">
        <v>201</v>
      </c>
      <c s="7" r="B1442">
        <v>1469</v>
      </c>
      <c s="30" r="C1442">
        <v>9</v>
      </c>
      <c t="s" s="30" r="D1442">
        <v>129</v>
      </c>
      <c t="s" s="30" r="E1442">
        <v>4</v>
      </c>
      <c t="s" s="30" r="F1442">
        <v>4</v>
      </c>
      <c t="s" s="30" r="G1442">
        <v>249</v>
      </c>
      <c t="str" s="12" r="H1442">
        <f>HYPERLINK("http://sofifa.com/en/fifa13winter/player/146742-gonzalo-bergessio","G. Bergessio")</f>
        <v>G. Bergessio</v>
      </c>
      <c s="30" r="I1442">
        <v>77</v>
      </c>
      <c t="s" s="30" r="J1442">
        <v>129</v>
      </c>
      <c t="s" s="30" r="K1442">
        <v>145</v>
      </c>
      <c t="s" s="30" r="L1442">
        <v>160</v>
      </c>
      <c s="30" r="M1442">
        <v>28</v>
      </c>
      <c s="26" r="N1442">
        <v>6.4</v>
      </c>
      <c s="23" r="O1442">
        <v>0.017</v>
      </c>
      <c s="7" r="P1442"/>
      <c s="7" r="Q1442"/>
      <c s="7" r="R1442">
        <f>IF((P1442&gt;0),O1442,0)</f>
        <v>0</v>
      </c>
      <c t="str" r="S1442">
        <f>CONCATENATE(F1442,E1442)</f>
        <v>NON FTLNON FTL</v>
      </c>
    </row>
    <row r="1443">
      <c t="s" s="7" r="A1443">
        <v>201</v>
      </c>
      <c s="7" r="B1443">
        <v>1470</v>
      </c>
      <c s="30" r="C1443">
        <v>17</v>
      </c>
      <c t="s" s="30" r="D1443">
        <v>170</v>
      </c>
      <c t="s" s="30" r="E1443">
        <v>4</v>
      </c>
      <c t="s" s="30" r="F1443">
        <v>4</v>
      </c>
      <c t="s" s="30" r="G1443">
        <v>249</v>
      </c>
      <c t="str" s="12" r="H1443">
        <f>HYPERLINK("http://sofifa.com/en/fifa13winter/player/148047-alejandro-gomez","A. Gómez")</f>
        <v>A. Gómez</v>
      </c>
      <c s="30" r="I1443">
        <v>80</v>
      </c>
      <c t="s" s="30" r="J1443">
        <v>170</v>
      </c>
      <c t="s" s="30" r="K1443">
        <v>197</v>
      </c>
      <c t="s" s="30" r="L1443">
        <v>115</v>
      </c>
      <c s="30" r="M1443">
        <v>24</v>
      </c>
      <c s="26" r="N1443">
        <v>12.1</v>
      </c>
      <c s="23" r="O1443">
        <v>0.03</v>
      </c>
      <c s="7" r="P1443"/>
      <c s="7" r="Q1443"/>
      <c s="7" r="R1443">
        <f>IF((P1443&gt;0),O1443,0)</f>
        <v>0</v>
      </c>
      <c t="str" r="S1443">
        <f>CONCATENATE(F1443,E1443)</f>
        <v>NON FTLNON FTL</v>
      </c>
    </row>
    <row r="1444">
      <c t="s" s="7" r="A1444">
        <v>201</v>
      </c>
      <c s="7" r="B1444">
        <v>1471</v>
      </c>
      <c s="30" r="C1444">
        <v>33</v>
      </c>
      <c t="s" s="30" r="D1444">
        <v>136</v>
      </c>
      <c t="s" s="30" r="E1444">
        <v>4</v>
      </c>
      <c t="s" s="30" r="F1444">
        <v>4</v>
      </c>
      <c t="s" s="30" r="G1444">
        <v>249</v>
      </c>
      <c t="str" s="12" r="H1444">
        <f>HYPERLINK("http://sofifa.com/en/fifa13winter/player/145636-ciro-capuano","C. Capuano")</f>
        <v>C. Capuano</v>
      </c>
      <c s="30" r="I1444">
        <v>69</v>
      </c>
      <c t="s" s="30" r="J1444">
        <v>117</v>
      </c>
      <c t="s" s="30" r="K1444">
        <v>173</v>
      </c>
      <c t="s" s="30" r="L1444">
        <v>153</v>
      </c>
      <c s="30" r="M1444">
        <v>31</v>
      </c>
      <c s="26" r="N1444">
        <v>1.3</v>
      </c>
      <c s="23" r="O1444">
        <v>0.008</v>
      </c>
      <c s="7" r="P1444"/>
      <c s="7" r="Q1444"/>
      <c s="7" r="R1444">
        <f>IF((P1444&gt;0),O1444,0)</f>
        <v>0</v>
      </c>
      <c t="str" r="S1444">
        <f>CONCATENATE(F1444,E1444)</f>
        <v>NON FTLNON FTL</v>
      </c>
    </row>
    <row r="1445">
      <c t="s" s="7" r="A1445">
        <v>201</v>
      </c>
      <c s="7" r="B1445">
        <v>1472</v>
      </c>
      <c s="30" r="C1445">
        <v>35</v>
      </c>
      <c t="s" s="30" r="D1445">
        <v>136</v>
      </c>
      <c t="s" s="30" r="E1445">
        <v>4</v>
      </c>
      <c t="s" s="30" r="F1445">
        <v>4</v>
      </c>
      <c t="s" s="30" r="G1445">
        <v>249</v>
      </c>
      <c t="str" s="12" r="H1445">
        <f>HYPERLINK("http://sofifa.com/en/fifa13winter/player/149369-souleymane-doukara","S. Doukara")</f>
        <v>S. Doukara</v>
      </c>
      <c s="30" r="I1445">
        <v>70</v>
      </c>
      <c t="s" s="30" r="J1445">
        <v>129</v>
      </c>
      <c t="s" s="30" r="K1445">
        <v>173</v>
      </c>
      <c t="s" s="30" r="L1445">
        <v>179</v>
      </c>
      <c s="30" r="M1445">
        <v>20</v>
      </c>
      <c s="26" r="N1445">
        <v>2.5</v>
      </c>
      <c s="23" r="O1445">
        <v>0.006</v>
      </c>
      <c s="7" r="P1445"/>
      <c s="7" r="Q1445"/>
      <c s="7" r="R1445">
        <f>IF((P1445&gt;0),O1445,0)</f>
        <v>0</v>
      </c>
      <c t="str" r="S1445">
        <f>CONCATENATE(F1445,E1445)</f>
        <v>NON FTLNON FTL</v>
      </c>
    </row>
    <row r="1446">
      <c t="s" s="7" r="A1446">
        <v>201</v>
      </c>
      <c s="7" r="B1446">
        <v>1473</v>
      </c>
      <c s="30" r="C1446">
        <v>29</v>
      </c>
      <c t="s" s="30" r="D1446">
        <v>136</v>
      </c>
      <c t="s" s="30" r="E1446">
        <v>4</v>
      </c>
      <c t="s" s="30" r="F1446">
        <v>4</v>
      </c>
      <c t="s" s="30" r="G1446">
        <v>249</v>
      </c>
      <c t="str" s="12" r="H1446">
        <f>HYPERLINK("http://sofifa.com/en/fifa13winter/player/148799-pietro-terracciano","P. Terracciano")</f>
        <v>P. Terracciano</v>
      </c>
      <c s="30" r="I1446">
        <v>62</v>
      </c>
      <c t="s" s="30" r="J1446">
        <v>106</v>
      </c>
      <c t="s" s="30" r="K1446">
        <v>107</v>
      </c>
      <c t="s" s="30" r="L1446">
        <v>179</v>
      </c>
      <c s="30" r="M1446">
        <v>22</v>
      </c>
      <c s="26" r="N1446">
        <v>0.6</v>
      </c>
      <c s="23" r="O1446">
        <v>0.003</v>
      </c>
      <c s="7" r="P1446"/>
      <c s="7" r="Q1446"/>
      <c s="7" r="R1446">
        <f>IF((P1446&gt;0),O1446,0)</f>
        <v>0</v>
      </c>
      <c t="str" r="S1446">
        <f>CONCATENATE(F1446,E1446)</f>
        <v>NON FTLNON FTL</v>
      </c>
    </row>
    <row r="1447">
      <c t="s" s="7" r="A1447">
        <v>201</v>
      </c>
      <c s="7" r="B1447">
        <v>1474</v>
      </c>
      <c s="30" r="C1447">
        <v>19</v>
      </c>
      <c t="s" s="30" r="D1447">
        <v>136</v>
      </c>
      <c t="s" s="30" r="E1447">
        <v>4</v>
      </c>
      <c t="s" s="30" r="F1447">
        <v>4</v>
      </c>
      <c t="s" s="30" r="G1447">
        <v>249</v>
      </c>
      <c t="str" s="12" r="H1447">
        <f>HYPERLINK("http://sofifa.com/en/fifa13winter/player/148466-lucas-castro","L. Castro")</f>
        <v>L. Castro</v>
      </c>
      <c s="30" r="I1447">
        <v>76</v>
      </c>
      <c t="s" s="30" r="J1447">
        <v>162</v>
      </c>
      <c t="s" s="30" r="K1447">
        <v>143</v>
      </c>
      <c t="s" s="30" r="L1447">
        <v>161</v>
      </c>
      <c s="30" r="M1447">
        <v>23</v>
      </c>
      <c s="26" r="N1447">
        <v>5.9</v>
      </c>
      <c s="23" r="O1447">
        <v>0.014</v>
      </c>
      <c s="7" r="P1447"/>
      <c s="7" r="Q1447"/>
      <c s="7" r="R1447">
        <f>IF((P1447&gt;0),O1447,0)</f>
        <v>0</v>
      </c>
      <c t="str" r="S1447">
        <f>CONCATENATE(F1447,E1447)</f>
        <v>NON FTLNON FTL</v>
      </c>
    </row>
    <row r="1448">
      <c t="s" s="7" r="A1448">
        <v>201</v>
      </c>
      <c s="7" r="B1448">
        <v>1475</v>
      </c>
      <c s="30" r="C1448">
        <v>30</v>
      </c>
      <c t="s" s="30" r="D1448">
        <v>136</v>
      </c>
      <c t="s" s="30" r="E1448">
        <v>4</v>
      </c>
      <c t="s" s="30" r="F1448">
        <v>4</v>
      </c>
      <c t="s" s="30" r="G1448">
        <v>249</v>
      </c>
      <c t="str" s="12" r="H1448">
        <f>HYPERLINK("http://sofifa.com/en/fifa13winter/player/149726-amidu-salifu","A. Salifu")</f>
        <v>A. Salifu</v>
      </c>
      <c s="30" r="I1448">
        <v>71</v>
      </c>
      <c t="s" s="30" r="J1448">
        <v>154</v>
      </c>
      <c t="s" s="30" r="K1448">
        <v>143</v>
      </c>
      <c t="s" s="30" r="L1448">
        <v>161</v>
      </c>
      <c s="30" r="M1448">
        <v>19</v>
      </c>
      <c s="26" r="N1448">
        <v>2.4</v>
      </c>
      <c s="23" r="O1448">
        <v>0.006</v>
      </c>
      <c s="7" r="P1448"/>
      <c s="7" r="Q1448"/>
      <c s="7" r="R1448">
        <f>IF((P1448&gt;0),O1448,0)</f>
        <v>0</v>
      </c>
      <c t="str" r="S1448">
        <f>CONCATENATE(F1448,E1448)</f>
        <v>NON FTLNON FTL</v>
      </c>
    </row>
    <row r="1449">
      <c t="s" s="7" r="A1449">
        <v>201</v>
      </c>
      <c s="7" r="B1449">
        <v>1476</v>
      </c>
      <c s="30" r="C1449">
        <v>8</v>
      </c>
      <c t="s" s="30" r="D1449">
        <v>136</v>
      </c>
      <c t="s" s="30" r="E1449">
        <v>4</v>
      </c>
      <c t="s" s="30" r="F1449">
        <v>4</v>
      </c>
      <c t="s" s="30" r="G1449">
        <v>249</v>
      </c>
      <c t="str" s="12" r="H1449">
        <f>HYPERLINK("http://sofifa.com/en/fifa13winter/player/148503-fabio-sciacca","F. Sciacca")</f>
        <v>F. Sciacca</v>
      </c>
      <c s="30" r="I1449">
        <v>70</v>
      </c>
      <c t="s" s="30" r="J1449">
        <v>124</v>
      </c>
      <c t="s" s="30" r="K1449">
        <v>167</v>
      </c>
      <c t="s" s="30" r="L1449">
        <v>138</v>
      </c>
      <c s="30" r="M1449">
        <v>23</v>
      </c>
      <c s="26" r="N1449">
        <v>1.9</v>
      </c>
      <c s="23" r="O1449">
        <v>0.006</v>
      </c>
      <c s="7" r="P1449"/>
      <c s="7" r="Q1449"/>
      <c s="7" r="R1449">
        <f>IF((P1449&gt;0),O1449,0)</f>
        <v>0</v>
      </c>
      <c t="str" r="S1449">
        <f>CONCATENATE(F1449,E1449)</f>
        <v>NON FTLNON FTL</v>
      </c>
    </row>
    <row r="1450">
      <c t="s" s="7" r="A1450">
        <v>201</v>
      </c>
      <c s="7" r="B1450">
        <v>1477</v>
      </c>
      <c s="30" r="C1450">
        <v>5</v>
      </c>
      <c t="s" s="30" r="D1450">
        <v>136</v>
      </c>
      <c t="s" s="30" r="E1450">
        <v>4</v>
      </c>
      <c t="s" s="30" r="F1450">
        <v>4</v>
      </c>
      <c t="s" s="30" r="G1450">
        <v>249</v>
      </c>
      <c t="str" s="12" r="H1450">
        <f>HYPERLINK("http://sofifa.com/en/fifa13winter/player/148405-alexis-rolin","A. Rolin")</f>
        <v>A. Rolin</v>
      </c>
      <c s="30" r="I1450">
        <v>74</v>
      </c>
      <c t="s" s="30" r="J1450">
        <v>113</v>
      </c>
      <c t="s" s="30" r="K1450">
        <v>173</v>
      </c>
      <c t="s" s="30" r="L1450">
        <v>137</v>
      </c>
      <c s="30" r="M1450">
        <v>23</v>
      </c>
      <c s="26" r="N1450">
        <v>3.5</v>
      </c>
      <c s="23" r="O1450">
        <v>0.01</v>
      </c>
      <c s="7" r="P1450"/>
      <c s="7" r="Q1450"/>
      <c s="7" r="R1450">
        <f>IF((P1450&gt;0),O1450,0)</f>
        <v>0</v>
      </c>
      <c t="str" r="S1450">
        <f>CONCATENATE(F1450,E1450)</f>
        <v>NON FTLNON FTL</v>
      </c>
    </row>
    <row r="1451">
      <c t="s" s="7" r="A1451">
        <v>201</v>
      </c>
      <c s="7" r="B1451">
        <v>1478</v>
      </c>
      <c s="30" r="C1451">
        <v>14</v>
      </c>
      <c t="s" s="30" r="D1451">
        <v>136</v>
      </c>
      <c t="s" s="30" r="E1451">
        <v>4</v>
      </c>
      <c t="s" s="30" r="F1451">
        <v>4</v>
      </c>
      <c t="s" s="30" r="G1451">
        <v>249</v>
      </c>
      <c t="str" s="12" r="H1451">
        <f>HYPERLINK("http://sofifa.com/en/fifa13winter/player/148600-giuseppe-bellusci","G. Bellusci")</f>
        <v>G. Bellusci</v>
      </c>
      <c s="30" r="I1451">
        <v>76</v>
      </c>
      <c t="s" s="30" r="J1451">
        <v>113</v>
      </c>
      <c t="s" s="30" r="K1451">
        <v>167</v>
      </c>
      <c t="s" s="30" r="L1451">
        <v>153</v>
      </c>
      <c s="30" r="M1451">
        <v>23</v>
      </c>
      <c s="26" r="N1451">
        <v>5.1</v>
      </c>
      <c s="23" r="O1451">
        <v>0.014</v>
      </c>
      <c s="7" r="P1451"/>
      <c s="7" r="Q1451"/>
      <c s="7" r="R1451">
        <f>IF((P1451&gt;0),O1451,0)</f>
        <v>0</v>
      </c>
      <c t="str" r="S1451">
        <f>CONCATENATE(F1451,E1451)</f>
        <v>NON FTLNON FTL</v>
      </c>
    </row>
    <row r="1452">
      <c t="s" s="7" r="A1452">
        <v>201</v>
      </c>
      <c s="7" r="B1452">
        <v>1479</v>
      </c>
      <c s="30" r="C1452">
        <v>4</v>
      </c>
      <c t="s" s="30" r="D1452">
        <v>136</v>
      </c>
      <c t="s" s="30" r="E1452">
        <v>4</v>
      </c>
      <c t="s" s="30" r="F1452">
        <v>4</v>
      </c>
      <c t="s" s="30" r="G1452">
        <v>249</v>
      </c>
      <c t="str" s="12" r="H1452">
        <f>HYPERLINK("http://sofifa.com/en/fifa13winter/player/145391-sergio-bernardo-almiron","S. Almirón")</f>
        <v>S. Almirón</v>
      </c>
      <c s="30" r="I1452">
        <v>77</v>
      </c>
      <c t="s" s="30" r="J1452">
        <v>124</v>
      </c>
      <c t="s" s="30" r="K1452">
        <v>114</v>
      </c>
      <c t="s" s="30" r="L1452">
        <v>193</v>
      </c>
      <c s="30" r="M1452">
        <v>31</v>
      </c>
      <c s="26" r="N1452">
        <v>4.5</v>
      </c>
      <c s="23" r="O1452">
        <v>0.019</v>
      </c>
      <c s="7" r="P1452"/>
      <c s="7" r="Q1452"/>
      <c s="7" r="R1452">
        <f>IF((P1452&gt;0),O1452,0)</f>
        <v>0</v>
      </c>
      <c t="str" r="S1452">
        <f>CONCATENATE(F1452,E1452)</f>
        <v>NON FTLNON FTL</v>
      </c>
    </row>
    <row r="1453">
      <c t="s" s="7" r="A1453">
        <v>201</v>
      </c>
      <c s="7" r="B1453">
        <v>1480</v>
      </c>
      <c s="30" r="C1453">
        <v>1</v>
      </c>
      <c t="s" s="30" r="D1453">
        <v>136</v>
      </c>
      <c t="s" s="30" r="E1453">
        <v>4</v>
      </c>
      <c t="s" s="30" r="F1453">
        <v>4</v>
      </c>
      <c t="s" s="30" r="G1453">
        <v>249</v>
      </c>
      <c t="str" s="12" r="H1453">
        <f>HYPERLINK("http://sofifa.com/en/fifa13winter/player/148204-alberto-frison","A. Frison")</f>
        <v>A. Frison</v>
      </c>
      <c s="30" r="I1453">
        <v>72</v>
      </c>
      <c t="s" s="30" r="J1453">
        <v>106</v>
      </c>
      <c t="s" s="30" r="K1453">
        <v>144</v>
      </c>
      <c t="s" s="30" r="L1453">
        <v>192</v>
      </c>
      <c s="30" r="M1453">
        <v>24</v>
      </c>
      <c s="26" r="N1453">
        <v>2.2</v>
      </c>
      <c s="23" r="O1453">
        <v>0.009</v>
      </c>
      <c s="7" r="P1453"/>
      <c s="7" r="Q1453"/>
      <c s="7" r="R1453">
        <f>IF((P1453&gt;0),O1453,0)</f>
        <v>0</v>
      </c>
      <c t="str" r="S1453">
        <f>CONCATENATE(F1453,E1453)</f>
        <v>NON FTLNON FTL</v>
      </c>
    </row>
    <row r="1454">
      <c t="s" s="7" r="A1454">
        <v>201</v>
      </c>
      <c s="7" r="B1454">
        <v>1481</v>
      </c>
      <c s="30" r="C1454">
        <v>2</v>
      </c>
      <c t="s" s="30" r="D1454">
        <v>136</v>
      </c>
      <c t="s" s="30" r="E1454">
        <v>4</v>
      </c>
      <c t="s" s="30" r="F1454">
        <v>4</v>
      </c>
      <c t="s" s="30" r="G1454">
        <v>249</v>
      </c>
      <c t="str" s="12" r="H1454">
        <f>HYPERLINK("http://sofifa.com/en/fifa13winter/player/146608-alessandro-potenza","A. Potenza")</f>
        <v>A. Potenza</v>
      </c>
      <c s="30" r="I1454">
        <v>69</v>
      </c>
      <c t="s" s="30" r="J1454">
        <v>109</v>
      </c>
      <c t="s" s="30" r="K1454">
        <v>132</v>
      </c>
      <c t="s" s="30" r="L1454">
        <v>158</v>
      </c>
      <c s="30" r="M1454">
        <v>28</v>
      </c>
      <c s="26" r="N1454">
        <v>1.5</v>
      </c>
      <c s="23" r="O1454">
        <v>0.007</v>
      </c>
      <c s="7" r="P1454"/>
      <c s="7" r="Q1454"/>
      <c s="7" r="R1454">
        <f>IF((P1454&gt;0),O1454,0)</f>
        <v>0</v>
      </c>
      <c t="str" r="S1454">
        <f>CONCATENATE(F1454,E1454)</f>
        <v>NON FTLNON FTL</v>
      </c>
    </row>
    <row r="1455">
      <c t="s" s="7" r="A1455">
        <v>201</v>
      </c>
      <c s="7" r="B1455">
        <v>1482</v>
      </c>
      <c s="30" r="C1455">
        <v>24</v>
      </c>
      <c t="s" s="30" r="D1455">
        <v>136</v>
      </c>
      <c t="s" s="30" r="E1455">
        <v>4</v>
      </c>
      <c t="s" s="30" r="F1455">
        <v>4</v>
      </c>
      <c t="s" s="30" r="G1455">
        <v>249</v>
      </c>
      <c t="str" s="12" r="H1455">
        <f>HYPERLINK("http://sofifa.com/en/fifa13winter/player/144530-adrian-ricchiuti","A. Ricchiuti")</f>
        <v>A. Ricchiuti</v>
      </c>
      <c s="30" r="I1455">
        <v>71</v>
      </c>
      <c t="s" s="30" r="J1455">
        <v>162</v>
      </c>
      <c t="s" s="30" r="K1455">
        <v>148</v>
      </c>
      <c t="s" s="30" r="L1455">
        <v>146</v>
      </c>
      <c s="30" r="M1455">
        <v>34</v>
      </c>
      <c s="26" r="N1455">
        <v>1.6</v>
      </c>
      <c s="23" r="O1455">
        <v>0.01</v>
      </c>
      <c s="7" r="P1455"/>
      <c s="7" r="Q1455"/>
      <c s="7" r="R1455">
        <f>IF((P1455&gt;0),O1455,0)</f>
        <v>0</v>
      </c>
      <c t="str" r="S1455">
        <f>CONCATENATE(F1455,E1455)</f>
        <v>NON FTLNON FTL</v>
      </c>
    </row>
    <row r="1456">
      <c t="s" s="7" r="A1456">
        <v>201</v>
      </c>
      <c s="7" r="B1456">
        <v>1483</v>
      </c>
      <c s="30" r="C1456">
        <v>18</v>
      </c>
      <c t="s" s="30" r="D1456">
        <v>147</v>
      </c>
      <c t="s" s="30" r="E1456">
        <v>4</v>
      </c>
      <c t="s" s="30" r="F1456">
        <v>4</v>
      </c>
      <c t="s" s="30" r="G1456">
        <v>249</v>
      </c>
      <c t="str" s="12" r="H1456">
        <f>HYPERLINK("http://sofifa.com/en/fifa13winter/player/148027-blazej-augustyn","B. Augustyn")</f>
        <v>B. Augustyn</v>
      </c>
      <c s="30" r="I1456">
        <v>68</v>
      </c>
      <c t="s" s="30" r="J1456">
        <v>113</v>
      </c>
      <c t="s" s="30" r="K1456">
        <v>144</v>
      </c>
      <c t="s" s="30" r="L1456">
        <v>179</v>
      </c>
      <c s="30" r="M1456">
        <v>24</v>
      </c>
      <c s="26" r="N1456">
        <v>1.7</v>
      </c>
      <c s="23" r="O1456">
        <v>0.006</v>
      </c>
      <c s="7" r="P1456"/>
      <c s="7" r="Q1456"/>
      <c s="7" r="R1456">
        <f>IF((P1456&gt;0),O1456,0)</f>
        <v>0</v>
      </c>
      <c t="str" r="S1456">
        <f>CONCATENATE(F1456,E1456)</f>
        <v>NON FTLNON FTL</v>
      </c>
    </row>
    <row r="1457">
      <c t="s" s="7" r="A1457">
        <v>201</v>
      </c>
      <c s="7" r="B1457">
        <v>1484</v>
      </c>
      <c s="30" r="C1457">
        <v>26</v>
      </c>
      <c t="s" s="30" r="D1457">
        <v>147</v>
      </c>
      <c t="s" s="30" r="E1457">
        <v>4</v>
      </c>
      <c t="s" s="30" r="F1457">
        <v>4</v>
      </c>
      <c t="s" s="30" r="G1457">
        <v>249</v>
      </c>
      <c t="str" s="12" r="H1457">
        <f>HYPERLINK("http://sofifa.com/en/fifa13winter/player/149458-sergio-gontan-gallardo","Keko")</f>
        <v>Keko</v>
      </c>
      <c s="30" r="I1457">
        <v>70</v>
      </c>
      <c t="s" s="30" r="J1457">
        <v>157</v>
      </c>
      <c t="s" s="30" r="K1457">
        <v>187</v>
      </c>
      <c t="s" s="30" r="L1457">
        <v>115</v>
      </c>
      <c s="30" r="M1457">
        <v>20</v>
      </c>
      <c s="26" r="N1457">
        <v>2.2</v>
      </c>
      <c s="23" r="O1457">
        <v>0.006</v>
      </c>
      <c s="7" r="P1457"/>
      <c s="7" r="Q1457"/>
      <c s="7" r="R1457">
        <f>IF((P1457&gt;0),O1457,0)</f>
        <v>0</v>
      </c>
      <c t="str" r="S1457">
        <f>CONCATENATE(F1457,E1457)</f>
        <v>NON FTLNON FTL</v>
      </c>
    </row>
    <row r="1458">
      <c t="s" s="7" r="A1458">
        <v>201</v>
      </c>
      <c s="7" r="B1458">
        <v>1485</v>
      </c>
      <c s="30" r="C1458">
        <v>34</v>
      </c>
      <c t="s" s="30" r="D1458">
        <v>147</v>
      </c>
      <c t="s" s="30" r="E1458">
        <v>4</v>
      </c>
      <c t="s" s="30" r="F1458">
        <v>4</v>
      </c>
      <c t="s" s="30" r="G1458">
        <v>249</v>
      </c>
      <c t="str" s="12" r="H1458">
        <f>HYPERLINK("http://sofifa.com/en/fifa13winter/player/149840-giuseppe-messina","G. Messina")</f>
        <v>G. Messina</v>
      </c>
      <c s="30" r="I1458">
        <v>58</v>
      </c>
      <c t="s" s="30" r="J1458">
        <v>106</v>
      </c>
      <c t="s" s="30" r="K1458">
        <v>173</v>
      </c>
      <c t="s" s="30" r="L1458">
        <v>153</v>
      </c>
      <c s="30" r="M1458">
        <v>19</v>
      </c>
      <c s="26" r="N1458">
        <v>0.3</v>
      </c>
      <c s="23" r="O1458">
        <v>0.002</v>
      </c>
      <c s="7" r="P1458"/>
      <c s="7" r="Q1458"/>
      <c s="7" r="R1458">
        <f>IF((P1458&gt;0),O1458,0)</f>
        <v>0</v>
      </c>
      <c t="str" r="S1458">
        <f>CONCATENATE(F1458,E1458)</f>
        <v>NON FTLNON FTL</v>
      </c>
    </row>
    <row r="1459">
      <c t="s" s="7" r="A1459">
        <v>201</v>
      </c>
      <c s="7" r="B1459">
        <v>1486</v>
      </c>
      <c s="30" r="C1459">
        <v>32</v>
      </c>
      <c t="s" s="30" r="D1459">
        <v>147</v>
      </c>
      <c t="s" s="30" r="E1459">
        <v>4</v>
      </c>
      <c t="s" s="30" r="F1459">
        <v>4</v>
      </c>
      <c t="s" s="30" r="G1459">
        <v>249</v>
      </c>
      <c t="str" s="12" r="H1459">
        <f>HYPERLINK("http://sofifa.com/en/fifa13winter/player/148570-edgar-cani","E. Çani")</f>
        <v>E. Çani</v>
      </c>
      <c s="30" r="I1459">
        <v>63</v>
      </c>
      <c t="s" s="30" r="J1459">
        <v>129</v>
      </c>
      <c t="s" s="30" r="K1459">
        <v>165</v>
      </c>
      <c t="s" s="30" r="L1459">
        <v>192</v>
      </c>
      <c s="30" r="M1459">
        <v>23</v>
      </c>
      <c s="26" r="N1459">
        <v>1</v>
      </c>
      <c s="23" r="O1459">
        <v>0.004</v>
      </c>
      <c s="7" r="P1459"/>
      <c s="7" r="Q1459"/>
      <c s="7" r="R1459">
        <f>IF((P1459&gt;0),O1459,0)</f>
        <v>0</v>
      </c>
      <c t="str" r="S1459">
        <f>CONCATENATE(F1459,E1459)</f>
        <v>NON FTLNON FTL</v>
      </c>
    </row>
    <row r="1460">
      <c t="s" s="7" r="A1460">
        <v>201</v>
      </c>
      <c s="7" r="B1460">
        <v>1487</v>
      </c>
      <c s="30" r="C1460">
        <v>47</v>
      </c>
      <c t="s" s="30" r="D1460">
        <v>106</v>
      </c>
      <c t="s" s="30" r="E1460">
        <v>4</v>
      </c>
      <c t="s" s="30" r="F1460">
        <v>4</v>
      </c>
      <c t="s" s="30" r="G1460">
        <v>250</v>
      </c>
      <c t="str" s="12" r="H1460">
        <f>HYPERLINK("http://sofifa.com/en/fifa13winter/player/147663-andrea-consigli","A. Consigli")</f>
        <v>A. Consigli</v>
      </c>
      <c s="30" r="I1460">
        <v>79</v>
      </c>
      <c t="s" s="30" r="J1460">
        <v>106</v>
      </c>
      <c t="s" s="30" r="K1460">
        <v>169</v>
      </c>
      <c t="s" s="30" r="L1460">
        <v>158</v>
      </c>
      <c s="30" r="M1460">
        <v>25</v>
      </c>
      <c s="26" r="N1460">
        <v>6.1</v>
      </c>
      <c s="23" r="O1460">
        <v>0.022</v>
      </c>
      <c s="7" r="P1460"/>
      <c s="7" r="Q1460"/>
      <c s="7" r="R1460">
        <f>IF((P1460&gt;0),O1460,0)</f>
        <v>0</v>
      </c>
      <c t="str" r="S1460">
        <f>CONCATENATE(F1460,E1460)</f>
        <v>NON FTLNON FTL</v>
      </c>
    </row>
    <row r="1461">
      <c t="s" s="7" r="A1461">
        <v>201</v>
      </c>
      <c s="7" r="B1461">
        <v>1488</v>
      </c>
      <c s="30" r="C1461">
        <v>77</v>
      </c>
      <c t="s" s="30" r="D1461">
        <v>109</v>
      </c>
      <c t="s" s="30" r="E1461">
        <v>4</v>
      </c>
      <c t="s" s="30" r="F1461">
        <v>4</v>
      </c>
      <c t="s" s="30" r="G1461">
        <v>250</v>
      </c>
      <c t="str" s="12" r="H1461">
        <f>HYPERLINK("http://sofifa.com/en/fifa13winter/player/145565-cristian-raimondi","C. Raimondi")</f>
        <v>C. Raimondi</v>
      </c>
      <c s="30" r="I1461">
        <v>72</v>
      </c>
      <c t="s" s="30" r="J1461">
        <v>109</v>
      </c>
      <c t="s" s="30" r="K1461">
        <v>143</v>
      </c>
      <c t="s" s="30" r="L1461">
        <v>161</v>
      </c>
      <c s="30" r="M1461">
        <v>31</v>
      </c>
      <c s="26" r="N1461">
        <v>1.9</v>
      </c>
      <c s="23" r="O1461">
        <v>0.01</v>
      </c>
      <c s="7" r="P1461"/>
      <c s="7" r="Q1461"/>
      <c s="7" r="R1461">
        <f>IF((P1461&gt;0),O1461,0)</f>
        <v>0</v>
      </c>
      <c t="str" r="S1461">
        <f>CONCATENATE(F1461,E1461)</f>
        <v>NON FTLNON FTL</v>
      </c>
    </row>
    <row r="1462">
      <c t="s" s="7" r="A1462">
        <v>201</v>
      </c>
      <c s="7" r="B1462">
        <v>1489</v>
      </c>
      <c s="30" r="C1462">
        <v>2</v>
      </c>
      <c t="s" s="30" r="D1462">
        <v>112</v>
      </c>
      <c t="s" s="30" r="E1462">
        <v>4</v>
      </c>
      <c t="s" s="30" r="F1462">
        <v>4</v>
      </c>
      <c t="s" s="30" r="G1462">
        <v>250</v>
      </c>
      <c t="str" s="12" r="H1462">
        <f>HYPERLINK("http://sofifa.com/en/fifa13winter/player/145571-guglielmo-stendardo","G. Stendardo")</f>
        <v>G. Stendardo</v>
      </c>
      <c s="30" r="I1462">
        <v>76</v>
      </c>
      <c t="s" s="30" r="J1462">
        <v>113</v>
      </c>
      <c t="s" s="30" r="K1462">
        <v>152</v>
      </c>
      <c t="s" s="30" r="L1462">
        <v>191</v>
      </c>
      <c s="30" r="M1462">
        <v>31</v>
      </c>
      <c s="26" r="N1462">
        <v>4.2</v>
      </c>
      <c s="23" r="O1462">
        <v>0.017</v>
      </c>
      <c s="7" r="P1462"/>
      <c s="7" r="Q1462"/>
      <c s="7" r="R1462">
        <f>IF((P1462&gt;0),O1462,0)</f>
        <v>0</v>
      </c>
      <c t="str" r="S1462">
        <f>CONCATENATE(F1462,E1462)</f>
        <v>NON FTLNON FTL</v>
      </c>
    </row>
    <row r="1463">
      <c t="s" s="7" r="A1463">
        <v>201</v>
      </c>
      <c s="7" r="B1463">
        <v>1490</v>
      </c>
      <c s="30" r="C1463">
        <v>3</v>
      </c>
      <c t="s" s="30" r="D1463">
        <v>116</v>
      </c>
      <c t="s" s="30" r="E1463">
        <v>4</v>
      </c>
      <c t="s" s="30" r="F1463">
        <v>4</v>
      </c>
      <c t="s" s="30" r="G1463">
        <v>250</v>
      </c>
      <c t="str" s="12" r="H1463">
        <f>HYPERLINK("http://sofifa.com/en/fifa13winter/player/145355-stefano-lucchini","S. Lucchini")</f>
        <v>S. Lucchini</v>
      </c>
      <c s="30" r="I1463">
        <v>76</v>
      </c>
      <c t="s" s="30" r="J1463">
        <v>113</v>
      </c>
      <c t="s" s="30" r="K1463">
        <v>173</v>
      </c>
      <c t="s" s="30" r="L1463">
        <v>137</v>
      </c>
      <c s="30" r="M1463">
        <v>31</v>
      </c>
      <c s="26" r="N1463">
        <v>3.9</v>
      </c>
      <c s="23" r="O1463">
        <v>0.017</v>
      </c>
      <c s="7" r="P1463"/>
      <c s="7" r="Q1463"/>
      <c s="7" r="R1463">
        <f>IF((P1463&gt;0),O1463,0)</f>
        <v>0</v>
      </c>
      <c t="str" r="S1463">
        <f>CONCATENATE(F1463,E1463)</f>
        <v>NON FTLNON FTL</v>
      </c>
    </row>
    <row r="1464">
      <c t="s" s="7" r="A1464">
        <v>201</v>
      </c>
      <c s="7" r="B1464">
        <v>1491</v>
      </c>
      <c s="30" r="C1464">
        <v>83</v>
      </c>
      <c t="s" s="30" r="D1464">
        <v>117</v>
      </c>
      <c t="s" s="30" r="E1464">
        <v>4</v>
      </c>
      <c t="s" s="30" r="F1464">
        <v>4</v>
      </c>
      <c t="s" s="30" r="G1464">
        <v>250</v>
      </c>
      <c t="str" s="12" r="H1464">
        <f>HYPERLINK("http://sofifa.com/en/fifa13winter/player/146258-cristiano-del-grosso","C. Del Grosso")</f>
        <v>C. Del Grosso</v>
      </c>
      <c s="30" r="I1464">
        <v>71</v>
      </c>
      <c t="s" s="30" r="J1464">
        <v>117</v>
      </c>
      <c t="s" s="30" r="K1464">
        <v>121</v>
      </c>
      <c t="s" s="30" r="L1464">
        <v>168</v>
      </c>
      <c s="30" r="M1464">
        <v>29</v>
      </c>
      <c s="26" r="N1464">
        <v>1.9</v>
      </c>
      <c s="23" r="O1464">
        <v>0.008</v>
      </c>
      <c s="7" r="P1464"/>
      <c s="7" r="Q1464"/>
      <c s="7" r="R1464">
        <f>IF((P1464&gt;0),O1464,0)</f>
        <v>0</v>
      </c>
      <c t="str" r="S1464">
        <f>CONCATENATE(F1464,E1464)</f>
        <v>NON FTLNON FTL</v>
      </c>
    </row>
    <row r="1465">
      <c t="s" s="7" r="A1465">
        <v>201</v>
      </c>
      <c s="7" r="B1465">
        <v>1492</v>
      </c>
      <c s="30" r="C1465">
        <v>18</v>
      </c>
      <c t="s" s="30" r="D1465">
        <v>120</v>
      </c>
      <c t="s" s="30" r="E1465">
        <v>4</v>
      </c>
      <c t="s" s="30" r="F1465">
        <v>4</v>
      </c>
      <c t="s" s="30" r="G1465">
        <v>250</v>
      </c>
      <c t="str" s="12" r="H1465">
        <f>HYPERLINK("http://sofifa.com/en/fifa13winter/player/147745-luigi-giorgi","L. Giorgi")</f>
        <v>L. Giorgi</v>
      </c>
      <c s="30" r="I1465">
        <v>72</v>
      </c>
      <c t="s" s="30" r="J1465">
        <v>120</v>
      </c>
      <c t="s" s="30" r="K1465">
        <v>173</v>
      </c>
      <c t="s" s="30" r="L1465">
        <v>151</v>
      </c>
      <c s="30" r="M1465">
        <v>25</v>
      </c>
      <c s="26" r="N1465">
        <v>2.7</v>
      </c>
      <c s="23" r="O1465">
        <v>0.009</v>
      </c>
      <c s="7" r="P1465"/>
      <c s="7" r="Q1465"/>
      <c s="7" r="R1465">
        <f>IF((P1465&gt;0),O1465,0)</f>
        <v>0</v>
      </c>
      <c t="str" r="S1465">
        <f>CONCATENATE(F1465,E1465)</f>
        <v>NON FTLNON FTL</v>
      </c>
    </row>
    <row r="1466">
      <c t="s" s="7" r="A1466">
        <v>201</v>
      </c>
      <c s="7" r="B1466">
        <v>1493</v>
      </c>
      <c s="30" r="C1466">
        <v>21</v>
      </c>
      <c t="s" s="30" r="D1466">
        <v>123</v>
      </c>
      <c t="s" s="30" r="E1466">
        <v>4</v>
      </c>
      <c t="s" s="30" r="F1466">
        <v>4</v>
      </c>
      <c t="s" s="30" r="G1466">
        <v>250</v>
      </c>
      <c t="str" s="12" r="H1466">
        <f>HYPERLINK("http://sofifa.com/en/fifa13winter/player/147442-luca-cigarini","L. Cigarini")</f>
        <v>L. Cigarini</v>
      </c>
      <c s="30" r="I1466">
        <v>78</v>
      </c>
      <c t="s" s="30" r="J1466">
        <v>124</v>
      </c>
      <c t="s" s="30" r="K1466">
        <v>139</v>
      </c>
      <c t="s" s="30" r="L1466">
        <v>146</v>
      </c>
      <c s="30" r="M1466">
        <v>26</v>
      </c>
      <c s="26" r="N1466">
        <v>6.3</v>
      </c>
      <c s="23" r="O1466">
        <v>0.019</v>
      </c>
      <c s="7" r="P1466"/>
      <c s="7" r="Q1466"/>
      <c s="7" r="R1466">
        <f>IF((P1466&gt;0),O1466,0)</f>
        <v>0</v>
      </c>
      <c t="str" r="S1466">
        <f>CONCATENATE(F1466,E1466)</f>
        <v>NON FTLNON FTL</v>
      </c>
    </row>
    <row r="1467">
      <c t="s" s="7" r="A1467">
        <v>201</v>
      </c>
      <c s="7" r="B1467">
        <v>1494</v>
      </c>
      <c s="30" r="C1467">
        <v>88</v>
      </c>
      <c t="s" s="30" r="D1467">
        <v>126</v>
      </c>
      <c t="s" s="30" r="E1467">
        <v>4</v>
      </c>
      <c t="s" s="30" r="F1467">
        <v>4</v>
      </c>
      <c t="s" s="30" r="G1467">
        <v>250</v>
      </c>
      <c t="str" s="12" r="H1467">
        <f>HYPERLINK("http://sofifa.com/en/fifa13winter/player/146199-davide-biondini","D. Biondini")</f>
        <v>D. Biondini</v>
      </c>
      <c s="30" r="I1467">
        <v>74</v>
      </c>
      <c t="s" s="30" r="J1467">
        <v>124</v>
      </c>
      <c t="s" s="30" r="K1467">
        <v>118</v>
      </c>
      <c t="s" s="30" r="L1467">
        <v>163</v>
      </c>
      <c s="30" r="M1467">
        <v>29</v>
      </c>
      <c s="26" r="N1467">
        <v>3</v>
      </c>
      <c s="23" r="O1467">
        <v>0.012</v>
      </c>
      <c s="7" r="P1467"/>
      <c s="7" r="Q1467"/>
      <c s="7" r="R1467">
        <f>IF((P1467&gt;0),O1467,0)</f>
        <v>0</v>
      </c>
      <c t="str" r="S1467">
        <f>CONCATENATE(F1467,E1467)</f>
        <v>NON FTLNON FTL</v>
      </c>
    </row>
    <row r="1468">
      <c t="s" s="7" r="A1468">
        <v>201</v>
      </c>
      <c s="7" r="B1468">
        <v>1495</v>
      </c>
      <c s="30" r="C1468">
        <v>10</v>
      </c>
      <c t="s" s="30" r="D1468">
        <v>128</v>
      </c>
      <c t="s" s="30" r="E1468">
        <v>4</v>
      </c>
      <c t="s" s="30" r="F1468">
        <v>4</v>
      </c>
      <c t="s" s="30" r="G1468">
        <v>250</v>
      </c>
      <c t="str" s="12" r="H1468">
        <f>HYPERLINK("http://sofifa.com/en/fifa13winter/player/148601-giacomo-bonaventura","G. Bonaventura")</f>
        <v>G. Bonaventura</v>
      </c>
      <c s="30" r="I1468">
        <v>79</v>
      </c>
      <c t="s" s="30" r="J1468">
        <v>128</v>
      </c>
      <c t="s" s="30" r="K1468">
        <v>118</v>
      </c>
      <c t="s" s="30" r="L1468">
        <v>111</v>
      </c>
      <c s="30" r="M1468">
        <v>23</v>
      </c>
      <c s="26" r="N1468">
        <v>7.9</v>
      </c>
      <c s="23" r="O1468">
        <v>0.021</v>
      </c>
      <c s="7" r="P1468"/>
      <c s="7" r="Q1468"/>
      <c s="7" r="R1468">
        <f>IF((P1468&gt;0),O1468,0)</f>
        <v>0</v>
      </c>
      <c t="str" r="S1468">
        <f>CONCATENATE(F1468,E1468)</f>
        <v>NON FTLNON FTL</v>
      </c>
    </row>
    <row r="1469">
      <c t="s" s="7" r="A1469">
        <v>201</v>
      </c>
      <c s="7" r="B1469">
        <v>1496</v>
      </c>
      <c s="30" r="C1469">
        <v>19</v>
      </c>
      <c t="s" s="30" r="D1469">
        <v>131</v>
      </c>
      <c t="s" s="30" r="E1469">
        <v>4</v>
      </c>
      <c t="s" s="30" r="F1469">
        <v>4</v>
      </c>
      <c t="s" s="30" r="G1469">
        <v>250</v>
      </c>
      <c t="str" s="12" r="H1469">
        <f>HYPERLINK("http://sofifa.com/en/fifa13winter/player/145698-german-denis","G. Denis")</f>
        <v>G. Denis</v>
      </c>
      <c s="30" r="I1469">
        <v>80</v>
      </c>
      <c t="s" s="30" r="J1469">
        <v>129</v>
      </c>
      <c t="s" s="30" r="K1469">
        <v>143</v>
      </c>
      <c t="s" s="30" r="L1469">
        <v>192</v>
      </c>
      <c s="30" r="M1469">
        <v>30</v>
      </c>
      <c s="26" r="N1469">
        <v>10.4</v>
      </c>
      <c s="23" r="O1469">
        <v>0.034</v>
      </c>
      <c s="7" r="P1469"/>
      <c s="7" r="Q1469"/>
      <c s="7" r="R1469">
        <f>IF((P1469&gt;0),O1469,0)</f>
        <v>0</v>
      </c>
      <c t="str" r="S1469">
        <f>CONCATENATE(F1469,E1469)</f>
        <v>NON FTLNON FTL</v>
      </c>
    </row>
    <row r="1470">
      <c t="s" s="7" r="A1470">
        <v>201</v>
      </c>
      <c s="7" r="B1470">
        <v>1497</v>
      </c>
      <c s="30" r="C1470">
        <v>7</v>
      </c>
      <c t="s" s="30" r="D1470">
        <v>133</v>
      </c>
      <c t="s" s="30" r="E1470">
        <v>4</v>
      </c>
      <c t="s" s="30" r="F1470">
        <v>4</v>
      </c>
      <c t="s" s="30" r="G1470">
        <v>250</v>
      </c>
      <c t="str" s="12" r="H1470">
        <f>HYPERLINK("http://sofifa.com/en/fifa13winter/player/150066-marko-livaja","M. Livaja")</f>
        <v>M. Livaja</v>
      </c>
      <c s="30" r="I1470">
        <v>72</v>
      </c>
      <c t="s" s="30" r="J1470">
        <v>129</v>
      </c>
      <c t="s" s="30" r="K1470">
        <v>143</v>
      </c>
      <c t="s" s="30" r="L1470">
        <v>183</v>
      </c>
      <c s="30" r="M1470">
        <v>19</v>
      </c>
      <c s="26" r="N1470">
        <v>3.6</v>
      </c>
      <c s="23" r="O1470">
        <v>0.007</v>
      </c>
      <c s="7" r="P1470"/>
      <c s="7" r="Q1470"/>
      <c s="7" r="R1470">
        <f>IF((P1470&gt;0),O1470,0)</f>
        <v>0</v>
      </c>
      <c t="str" r="S1470">
        <f>CONCATENATE(F1470,E1470)</f>
        <v>NON FTLNON FTL</v>
      </c>
    </row>
    <row r="1471">
      <c t="s" s="7" r="A1471">
        <v>201</v>
      </c>
      <c s="7" r="B1471">
        <v>1498</v>
      </c>
      <c s="30" r="C1471">
        <v>17</v>
      </c>
      <c t="s" s="30" r="D1471">
        <v>136</v>
      </c>
      <c t="s" s="30" r="E1471">
        <v>4</v>
      </c>
      <c t="s" s="30" r="F1471">
        <v>4</v>
      </c>
      <c t="s" s="30" r="G1471">
        <v>250</v>
      </c>
      <c t="str" s="12" r="H1471">
        <f>HYPERLINK("http://sofifa.com/en/fifa13winter/player/147688-carlos-carmona","C. Carmona")</f>
        <v>C. Carmona</v>
      </c>
      <c s="30" r="I1471">
        <v>75</v>
      </c>
      <c t="s" s="30" r="J1471">
        <v>124</v>
      </c>
      <c t="s" s="30" r="K1471">
        <v>118</v>
      </c>
      <c t="s" s="30" r="L1471">
        <v>115</v>
      </c>
      <c s="30" r="M1471">
        <v>25</v>
      </c>
      <c s="26" r="N1471">
        <v>4.4</v>
      </c>
      <c s="23" r="O1471">
        <v>0.013</v>
      </c>
      <c s="7" r="P1471"/>
      <c s="7" r="Q1471"/>
      <c s="7" r="R1471">
        <f>IF((P1471&gt;0),O1471,0)</f>
        <v>0</v>
      </c>
      <c t="str" r="S1471">
        <f>CONCATENATE(F1471,E1471)</f>
        <v>NON FTLNON FTL</v>
      </c>
    </row>
    <row r="1472">
      <c t="s" s="7" r="A1472">
        <v>201</v>
      </c>
      <c s="7" r="B1472">
        <v>1499</v>
      </c>
      <c s="30" r="C1472">
        <v>99</v>
      </c>
      <c t="s" s="30" r="D1472">
        <v>136</v>
      </c>
      <c t="s" s="30" r="E1472">
        <v>4</v>
      </c>
      <c t="s" s="30" r="F1472">
        <v>4</v>
      </c>
      <c t="s" s="30" r="G1472">
        <v>250</v>
      </c>
      <c t="str" s="12" r="H1472">
        <f>HYPERLINK("http://sofifa.com/en/fifa13winter/player/147072-facundo-parra","F. Parra")</f>
        <v>F. Parra</v>
      </c>
      <c s="30" r="I1472">
        <v>70</v>
      </c>
      <c t="s" s="30" r="J1472">
        <v>129</v>
      </c>
      <c t="s" s="30" r="K1472">
        <v>167</v>
      </c>
      <c t="s" s="30" r="L1472">
        <v>193</v>
      </c>
      <c s="30" r="M1472">
        <v>27</v>
      </c>
      <c s="26" r="N1472">
        <v>2.1</v>
      </c>
      <c s="23" r="O1472">
        <v>0.007</v>
      </c>
      <c s="7" r="P1472"/>
      <c s="7" r="Q1472"/>
      <c s="7" r="R1472">
        <f>IF((P1472&gt;0),O1472,0)</f>
        <v>0</v>
      </c>
      <c t="str" r="S1472">
        <f>CONCATENATE(F1472,E1472)</f>
        <v>NON FTLNON FTL</v>
      </c>
    </row>
    <row r="1473">
      <c t="s" s="7" r="A1473">
        <v>201</v>
      </c>
      <c s="7" r="B1473">
        <v>1500</v>
      </c>
      <c s="30" r="C1473">
        <v>4</v>
      </c>
      <c t="s" s="30" r="D1473">
        <v>136</v>
      </c>
      <c t="s" s="30" r="E1473">
        <v>4</v>
      </c>
      <c t="s" s="30" r="F1473">
        <v>4</v>
      </c>
      <c t="s" s="30" r="G1473">
        <v>250</v>
      </c>
      <c t="str" s="12" r="H1473">
        <f>HYPERLINK("http://sofifa.com/en/fifa13winter/player/147442-daniele-capelli","D. Capelli")</f>
        <v>D. Capelli</v>
      </c>
      <c s="30" r="I1473">
        <v>70</v>
      </c>
      <c t="s" s="30" r="J1473">
        <v>113</v>
      </c>
      <c t="s" s="30" r="K1473">
        <v>173</v>
      </c>
      <c t="s" s="30" r="L1473">
        <v>156</v>
      </c>
      <c s="30" r="M1473">
        <v>26</v>
      </c>
      <c s="26" r="N1473">
        <v>1.9</v>
      </c>
      <c s="23" r="O1473">
        <v>0.007</v>
      </c>
      <c s="7" r="P1473"/>
      <c s="7" r="Q1473"/>
      <c s="7" r="R1473">
        <f>IF((P1473&gt;0),O1473,0)</f>
        <v>0</v>
      </c>
      <c t="str" r="S1473">
        <f>CONCATENATE(F1473,E1473)</f>
        <v>NON FTLNON FTL</v>
      </c>
    </row>
    <row r="1474">
      <c t="s" s="7" r="A1474">
        <v>201</v>
      </c>
      <c s="7" r="B1474">
        <v>1501</v>
      </c>
      <c s="30" r="C1474">
        <v>11</v>
      </c>
      <c t="s" s="30" r="D1474">
        <v>136</v>
      </c>
      <c t="s" s="30" r="E1474">
        <v>4</v>
      </c>
      <c t="s" s="30" r="F1474">
        <v>4</v>
      </c>
      <c t="s" s="30" r="G1474">
        <v>250</v>
      </c>
      <c t="str" s="12" r="H1474">
        <f>HYPERLINK("http://sofifa.com/en/fifa13winter/player/147694-maximiliano-moralez","M. Moralez")</f>
        <v>M. Moralez</v>
      </c>
      <c s="30" r="I1474">
        <v>76</v>
      </c>
      <c t="s" s="30" r="J1474">
        <v>171</v>
      </c>
      <c t="s" s="30" r="K1474">
        <v>251</v>
      </c>
      <c t="s" s="30" r="L1474">
        <v>202</v>
      </c>
      <c s="30" r="M1474">
        <v>25</v>
      </c>
      <c s="26" r="N1474">
        <v>7.3</v>
      </c>
      <c s="23" r="O1474">
        <v>0.015</v>
      </c>
      <c s="7" r="P1474"/>
      <c s="7" r="Q1474"/>
      <c s="7" r="R1474">
        <f>IF((P1474&gt;0),O1474,0)</f>
        <v>0</v>
      </c>
      <c t="str" r="S1474">
        <f>CONCATENATE(F1474,E1474)</f>
        <v>NON FTLNON FTL</v>
      </c>
    </row>
    <row r="1475">
      <c t="s" s="7" r="A1475">
        <v>201</v>
      </c>
      <c s="7" r="B1475">
        <v>1502</v>
      </c>
      <c s="30" r="C1475">
        <v>91</v>
      </c>
      <c t="s" s="30" r="D1475">
        <v>136</v>
      </c>
      <c t="s" s="30" r="E1475">
        <v>4</v>
      </c>
      <c t="s" s="30" r="F1475">
        <v>4</v>
      </c>
      <c t="s" s="30" r="G1475">
        <v>250</v>
      </c>
      <c t="str" s="12" r="H1475">
        <f>HYPERLINK("http://sofifa.com/en/fifa13winter/player/149270-giuseppe-de-luca","G. De Luca")</f>
        <v>G. De Luca</v>
      </c>
      <c s="30" r="I1475">
        <v>70</v>
      </c>
      <c t="s" s="30" r="J1475">
        <v>171</v>
      </c>
      <c t="s" s="30" r="K1475">
        <v>148</v>
      </c>
      <c t="s" s="30" r="L1475">
        <v>122</v>
      </c>
      <c s="30" r="M1475">
        <v>21</v>
      </c>
      <c s="26" r="N1475">
        <v>2.6</v>
      </c>
      <c s="23" r="O1475">
        <v>0.006</v>
      </c>
      <c s="7" r="P1475"/>
      <c s="7" r="Q1475"/>
      <c s="7" r="R1475">
        <f>IF((P1475&gt;0),O1475,0)</f>
        <v>0</v>
      </c>
      <c t="str" r="S1475">
        <f>CONCATENATE(F1475,E1475)</f>
        <v>NON FTLNON FTL</v>
      </c>
    </row>
    <row r="1476">
      <c t="s" s="7" r="A1476">
        <v>201</v>
      </c>
      <c s="7" r="B1476">
        <v>1503</v>
      </c>
      <c s="30" r="C1476">
        <v>8</v>
      </c>
      <c t="s" s="30" r="D1476">
        <v>136</v>
      </c>
      <c t="s" s="30" r="E1476">
        <v>4</v>
      </c>
      <c t="s" s="30" r="F1476">
        <v>4</v>
      </c>
      <c t="s" s="30" r="G1476">
        <v>250</v>
      </c>
      <c t="str" s="12" r="H1476">
        <f>HYPERLINK("http://sofifa.com/en/fifa13winter/player/148243-ivan-radovanovic","I. Radovanovic")</f>
        <v>I. Radovanovic</v>
      </c>
      <c s="30" r="I1476">
        <v>71</v>
      </c>
      <c t="s" s="30" r="J1476">
        <v>154</v>
      </c>
      <c t="s" s="30" r="K1476">
        <v>173</v>
      </c>
      <c t="s" s="30" r="L1476">
        <v>153</v>
      </c>
      <c s="30" r="M1476">
        <v>24</v>
      </c>
      <c s="26" r="N1476">
        <v>2.1</v>
      </c>
      <c s="23" r="O1476">
        <v>0.008</v>
      </c>
      <c s="7" r="P1476"/>
      <c s="7" r="Q1476"/>
      <c s="7" r="R1476">
        <f>IF((P1476&gt;0),O1476,0)</f>
        <v>0</v>
      </c>
      <c t="str" r="S1476">
        <f>CONCATENATE(F1476,E1476)</f>
        <v>NON FTLNON FTL</v>
      </c>
    </row>
    <row r="1477">
      <c t="s" s="7" r="A1477">
        <v>201</v>
      </c>
      <c s="7" r="B1477">
        <v>1504</v>
      </c>
      <c s="30" r="C1477">
        <v>78</v>
      </c>
      <c t="s" s="30" r="D1477">
        <v>136</v>
      </c>
      <c t="s" s="30" r="E1477">
        <v>4</v>
      </c>
      <c t="s" s="30" r="F1477">
        <v>4</v>
      </c>
      <c t="s" s="30" r="G1477">
        <v>250</v>
      </c>
      <c t="str" s="12" r="H1477">
        <f>HYPERLINK("http://sofifa.com/en/fifa13winter/player/143639-giorgio-frezzolini","G. Frezzolini")</f>
        <v>G. Frezzolini</v>
      </c>
      <c s="30" r="I1477">
        <v>68</v>
      </c>
      <c t="s" s="30" r="J1477">
        <v>106</v>
      </c>
      <c t="s" s="30" r="K1477">
        <v>155</v>
      </c>
      <c t="s" s="30" r="L1477">
        <v>183</v>
      </c>
      <c s="30" r="M1477">
        <v>36</v>
      </c>
      <c s="26" r="N1477">
        <v>0.7</v>
      </c>
      <c s="23" r="O1477">
        <v>0.008</v>
      </c>
      <c s="7" r="P1477"/>
      <c s="7" r="Q1477"/>
      <c s="7" r="R1477">
        <f>IF((P1477&gt;0),O1477,0)</f>
        <v>0</v>
      </c>
      <c t="str" r="S1477">
        <f>CONCATENATE(F1477,E1477)</f>
        <v>NON FTLNON FTL</v>
      </c>
    </row>
    <row r="1478">
      <c t="s" s="7" r="A1478">
        <v>201</v>
      </c>
      <c s="7" r="B1478">
        <v>1505</v>
      </c>
      <c s="30" r="C1478">
        <v>28</v>
      </c>
      <c t="s" s="30" r="D1478">
        <v>136</v>
      </c>
      <c t="s" s="30" r="E1478">
        <v>4</v>
      </c>
      <c t="s" s="30" r="F1478">
        <v>4</v>
      </c>
      <c t="s" s="30" r="G1478">
        <v>250</v>
      </c>
      <c t="str" s="12" r="H1478">
        <f>HYPERLINK("http://sofifa.com/en/fifa13winter/player/148078-davide-brivio","D. Brivio")</f>
        <v>D. Brivio</v>
      </c>
      <c s="30" r="I1478">
        <v>73</v>
      </c>
      <c t="s" s="30" r="J1478">
        <v>117</v>
      </c>
      <c t="s" s="30" r="K1478">
        <v>132</v>
      </c>
      <c t="s" s="30" r="L1478">
        <v>193</v>
      </c>
      <c s="30" r="M1478">
        <v>24</v>
      </c>
      <c s="26" r="N1478">
        <v>2.9</v>
      </c>
      <c s="23" r="O1478">
        <v>0.01</v>
      </c>
      <c s="7" r="P1478"/>
      <c s="7" r="Q1478"/>
      <c s="7" r="R1478">
        <f>IF((P1478&gt;0),O1478,0)</f>
        <v>0</v>
      </c>
      <c t="str" r="S1478">
        <f>CONCATENATE(F1478,E1478)</f>
        <v>NON FTLNON FTL</v>
      </c>
    </row>
    <row r="1479">
      <c t="s" s="7" r="A1479">
        <v>201</v>
      </c>
      <c s="7" r="B1479">
        <v>1506</v>
      </c>
      <c s="30" r="C1479">
        <v>44</v>
      </c>
      <c t="s" s="30" r="D1479">
        <v>136</v>
      </c>
      <c t="s" s="30" r="E1479">
        <v>4</v>
      </c>
      <c t="s" s="30" r="F1479">
        <v>4</v>
      </c>
      <c t="s" s="30" r="G1479">
        <v>250</v>
      </c>
      <c t="str" s="12" r="H1479">
        <f>HYPERLINK("http://sofifa.com/en/fifa13winter/player/147187-riccardo-cazzola","R. Cazzola")</f>
        <v>R. Cazzola</v>
      </c>
      <c s="30" r="I1479">
        <v>71</v>
      </c>
      <c t="s" s="30" r="J1479">
        <v>124</v>
      </c>
      <c t="s" s="30" r="K1479">
        <v>134</v>
      </c>
      <c t="s" s="30" r="L1479">
        <v>156</v>
      </c>
      <c s="30" r="M1479">
        <v>26</v>
      </c>
      <c s="26" r="N1479">
        <v>2.2</v>
      </c>
      <c s="23" r="O1479">
        <v>0.008</v>
      </c>
      <c s="7" r="P1479"/>
      <c s="7" r="Q1479"/>
      <c s="7" r="R1479">
        <f>IF((P1479&gt;0),O1479,0)</f>
        <v>0</v>
      </c>
      <c t="str" r="S1479">
        <f>CONCATENATE(F1479,E1479)</f>
        <v>NON FTLNON FTL</v>
      </c>
    </row>
    <row r="1480">
      <c t="s" s="7" r="A1480">
        <v>201</v>
      </c>
      <c s="7" r="B1480">
        <v>1507</v>
      </c>
      <c s="30" r="C1480">
        <v>13</v>
      </c>
      <c t="s" s="30" r="D1480">
        <v>136</v>
      </c>
      <c t="s" s="30" r="E1480">
        <v>4</v>
      </c>
      <c t="s" s="30" r="F1480">
        <v>4</v>
      </c>
      <c t="s" s="30" r="G1480">
        <v>250</v>
      </c>
      <c t="str" s="12" r="H1480">
        <f>HYPERLINK("http://sofifa.com/en/fifa13winter/player/147062-michele-canini","M. Canini")</f>
        <v>M. Canini</v>
      </c>
      <c s="30" r="I1480">
        <v>75</v>
      </c>
      <c t="s" s="30" r="J1480">
        <v>113</v>
      </c>
      <c t="s" s="30" r="K1480">
        <v>110</v>
      </c>
      <c t="s" s="30" r="L1480">
        <v>142</v>
      </c>
      <c s="30" r="M1480">
        <v>27</v>
      </c>
      <c s="26" r="N1480">
        <v>4</v>
      </c>
      <c s="23" r="O1480">
        <v>0.013</v>
      </c>
      <c s="7" r="P1480"/>
      <c s="7" r="Q1480"/>
      <c s="7" r="R1480">
        <f>IF((P1480&gt;0),O1480,0)</f>
        <v>0</v>
      </c>
      <c t="str" r="S1480">
        <f>CONCATENATE(F1480,E1480)</f>
        <v>NON FTLNON FTL</v>
      </c>
    </row>
    <row r="1481">
      <c t="s" s="7" r="A1481">
        <v>201</v>
      </c>
      <c s="7" r="B1481">
        <v>1508</v>
      </c>
      <c s="30" r="C1481">
        <v>5</v>
      </c>
      <c t="s" s="30" r="D1481">
        <v>136</v>
      </c>
      <c t="s" s="30" r="E1481">
        <v>4</v>
      </c>
      <c t="s" s="30" r="F1481">
        <v>4</v>
      </c>
      <c t="s" s="30" r="G1481">
        <v>250</v>
      </c>
      <c t="str" s="12" r="H1481">
        <f>HYPERLINK("http://sofifa.com/en/fifa13winter/player/144485-lionel-scaloni","L. Scaloni")</f>
        <v>L. Scaloni</v>
      </c>
      <c s="30" r="I1481">
        <v>71</v>
      </c>
      <c t="s" s="30" r="J1481">
        <v>109</v>
      </c>
      <c t="s" s="30" r="K1481">
        <v>143</v>
      </c>
      <c t="s" s="30" r="L1481">
        <v>153</v>
      </c>
      <c s="30" r="M1481">
        <v>34</v>
      </c>
      <c s="26" r="N1481">
        <v>1.3</v>
      </c>
      <c s="23" r="O1481">
        <v>0.01</v>
      </c>
      <c s="7" r="P1481"/>
      <c s="7" r="Q1481"/>
      <c s="7" r="R1481">
        <f>IF((P1481&gt;0),O1481,0)</f>
        <v>0</v>
      </c>
      <c t="str" r="S1481">
        <f>CONCATENATE(F1481,E1481)</f>
        <v>NON FTLNON FTL</v>
      </c>
    </row>
    <row r="1482">
      <c t="s" s="7" r="A1482">
        <v>201</v>
      </c>
      <c s="7" r="B1482">
        <v>1509</v>
      </c>
      <c s="30" r="C1482">
        <v>6</v>
      </c>
      <c t="s" s="30" r="D1482">
        <v>136</v>
      </c>
      <c t="s" s="30" r="E1482">
        <v>4</v>
      </c>
      <c t="s" s="30" r="F1482">
        <v>4</v>
      </c>
      <c t="s" s="30" r="G1482">
        <v>250</v>
      </c>
      <c t="str" s="12" r="H1482">
        <f>HYPERLINK("http://sofifa.com/en/fifa13winter/player/145166-gianpaolo-bellini","G. Bellini")</f>
        <v>G. Bellini</v>
      </c>
      <c s="30" r="I1482">
        <v>71</v>
      </c>
      <c t="s" s="30" r="J1482">
        <v>109</v>
      </c>
      <c t="s" s="30" r="K1482">
        <v>114</v>
      </c>
      <c t="s" s="30" r="L1482">
        <v>138</v>
      </c>
      <c s="30" r="M1482">
        <v>32</v>
      </c>
      <c s="26" r="N1482">
        <v>1.6</v>
      </c>
      <c s="23" r="O1482">
        <v>0.009</v>
      </c>
      <c s="7" r="P1482"/>
      <c s="7" r="Q1482"/>
      <c s="7" r="R1482">
        <f>IF((P1482&gt;0),O1482,0)</f>
        <v>0</v>
      </c>
      <c t="str" r="S1482">
        <f>CONCATENATE(F1482,E1482)</f>
        <v>NON FTLNON FTL</v>
      </c>
    </row>
    <row r="1483">
      <c t="s" s="7" r="A1483">
        <v>201</v>
      </c>
      <c s="7" r="B1483">
        <v>1510</v>
      </c>
      <c s="30" r="C1483">
        <v>92</v>
      </c>
      <c t="s" s="30" r="D1483">
        <v>147</v>
      </c>
      <c t="s" s="30" r="E1483">
        <v>4</v>
      </c>
      <c t="s" s="30" r="F1483">
        <v>4</v>
      </c>
      <c t="s" s="30" r="G1483">
        <v>250</v>
      </c>
      <c t="str" s="12" r="H1483">
        <f>HYPERLINK("http://sofifa.com/en/fifa13winter/player/149946-luca-milesi","L. Milesi")</f>
        <v>L. Milesi</v>
      </c>
      <c s="30" r="I1483">
        <v>64</v>
      </c>
      <c t="s" s="30" r="J1483">
        <v>113</v>
      </c>
      <c t="s" s="30" r="K1483">
        <v>143</v>
      </c>
      <c t="s" s="30" r="L1483">
        <v>146</v>
      </c>
      <c s="30" r="M1483">
        <v>19</v>
      </c>
      <c s="26" r="N1483">
        <v>1</v>
      </c>
      <c s="23" r="O1483">
        <v>0.004</v>
      </c>
      <c s="7" r="P1483"/>
      <c s="7" r="Q1483"/>
      <c s="7" r="R1483">
        <f>IF((P1483&gt;0),O1483,0)</f>
        <v>0</v>
      </c>
      <c t="str" r="S1483">
        <f>CONCATENATE(F1483,E1483)</f>
        <v>NON FTLNON FTL</v>
      </c>
    </row>
    <row r="1484">
      <c t="s" s="7" r="A1484">
        <v>201</v>
      </c>
      <c s="7" r="B1484">
        <v>1511</v>
      </c>
      <c s="30" r="C1484">
        <v>20</v>
      </c>
      <c t="s" s="30" r="D1484">
        <v>147</v>
      </c>
      <c t="s" s="30" r="E1484">
        <v>4</v>
      </c>
      <c t="s" s="30" r="F1484">
        <v>4</v>
      </c>
      <c t="s" s="30" r="G1484">
        <v>250</v>
      </c>
      <c t="str" s="12" r="H1484">
        <f>HYPERLINK("http://sofifa.com/en/fifa13winter/player/145192-igor-budan","I. Budan")</f>
        <v>I. Budan</v>
      </c>
      <c s="30" r="I1484">
        <v>71</v>
      </c>
      <c t="s" s="30" r="J1484">
        <v>129</v>
      </c>
      <c t="s" s="30" r="K1484">
        <v>132</v>
      </c>
      <c t="s" s="30" r="L1484">
        <v>153</v>
      </c>
      <c s="30" r="M1484">
        <v>32</v>
      </c>
      <c s="26" r="N1484">
        <v>2</v>
      </c>
      <c s="23" r="O1484">
        <v>0.009</v>
      </c>
      <c s="7" r="P1484"/>
      <c s="7" r="Q1484"/>
      <c s="7" r="R1484">
        <f>IF((P1484&gt;0),O1484,0)</f>
        <v>0</v>
      </c>
      <c t="str" r="S1484">
        <f>CONCATENATE(F1484,E1484)</f>
        <v>NON FTLNON FTL</v>
      </c>
    </row>
    <row r="1485">
      <c t="s" s="7" r="A1485">
        <v>201</v>
      </c>
      <c s="7" r="B1485">
        <v>1512</v>
      </c>
      <c s="30" r="C1485">
        <v>89</v>
      </c>
      <c t="s" s="30" r="D1485">
        <v>147</v>
      </c>
      <c t="s" s="30" r="E1485">
        <v>4</v>
      </c>
      <c t="s" s="30" r="F1485">
        <v>4</v>
      </c>
      <c t="s" s="30" r="G1485">
        <v>250</v>
      </c>
      <c t="str" s="12" r="H1485">
        <f>HYPERLINK("http://sofifa.com/en/fifa13winter/player/148588-guido-marilungo","G. Marilungo")</f>
        <v>G. Marilungo</v>
      </c>
      <c s="30" r="I1485">
        <v>73</v>
      </c>
      <c t="s" s="30" r="J1485">
        <v>171</v>
      </c>
      <c t="s" s="30" r="K1485">
        <v>172</v>
      </c>
      <c t="s" s="30" r="L1485">
        <v>146</v>
      </c>
      <c s="30" r="M1485">
        <v>23</v>
      </c>
      <c s="26" r="N1485">
        <v>3.7</v>
      </c>
      <c s="23" r="O1485">
        <v>0.009</v>
      </c>
      <c s="7" r="P1485"/>
      <c s="7" r="Q1485"/>
      <c s="7" r="R1485">
        <f>IF((P1485&gt;0),O1485,0)</f>
        <v>0</v>
      </c>
      <c t="str" r="S1485">
        <f>CONCATENATE(F1485,E1485)</f>
        <v>NON FTLNON FTL</v>
      </c>
    </row>
    <row r="1486">
      <c t="s" s="7" r="A1486">
        <v>201</v>
      </c>
      <c s="7" r="B1486">
        <v>1513</v>
      </c>
      <c s="30" r="C1486">
        <v>9</v>
      </c>
      <c t="s" s="30" r="D1486">
        <v>147</v>
      </c>
      <c t="s" s="30" r="E1486">
        <v>4</v>
      </c>
      <c t="s" s="30" r="F1486">
        <v>4</v>
      </c>
      <c t="s" s="30" r="G1486">
        <v>250</v>
      </c>
      <c t="str" s="12" r="H1486">
        <f>HYPERLINK("http://sofifa.com/en/fifa13winter/player/148186-james-troisi","J. Troisi")</f>
        <v>J. Troisi</v>
      </c>
      <c s="30" r="I1486">
        <v>71</v>
      </c>
      <c t="s" s="30" r="J1486">
        <v>171</v>
      </c>
      <c t="s" s="30" r="K1486">
        <v>159</v>
      </c>
      <c t="s" s="30" r="L1486">
        <v>161</v>
      </c>
      <c s="30" r="M1486">
        <v>24</v>
      </c>
      <c s="26" r="N1486">
        <v>2.7</v>
      </c>
      <c s="23" r="O1486">
        <v>0.008</v>
      </c>
      <c s="7" r="P1486"/>
      <c s="7" r="Q1486"/>
      <c s="7" r="R1486">
        <f>IF((P1486&gt;0),O1486,0)</f>
        <v>0</v>
      </c>
      <c t="str" r="S1486">
        <f>CONCATENATE(F1486,E1486)</f>
        <v>NON FTLNON FTL</v>
      </c>
    </row>
    <row r="1487">
      <c t="s" s="7" r="A1487">
        <v>201</v>
      </c>
      <c s="7" r="B1487">
        <v>1514</v>
      </c>
      <c s="30" r="C1487">
        <v>23</v>
      </c>
      <c t="s" s="30" r="D1487">
        <v>147</v>
      </c>
      <c t="s" s="30" r="E1487">
        <v>4</v>
      </c>
      <c t="s" s="30" r="F1487">
        <v>4</v>
      </c>
      <c t="s" s="30" r="G1487">
        <v>250</v>
      </c>
      <c t="str" s="12" r="H1487">
        <f>HYPERLINK("http://sofifa.com/en/fifa13winter/player/144792-franco-brienza","F. Brienza")</f>
        <v>F. Brienza</v>
      </c>
      <c s="30" r="I1487">
        <v>74</v>
      </c>
      <c t="s" s="30" r="J1487">
        <v>171</v>
      </c>
      <c t="s" s="30" r="K1487">
        <v>148</v>
      </c>
      <c t="s" s="30" r="L1487">
        <v>115</v>
      </c>
      <c s="30" r="M1487">
        <v>33</v>
      </c>
      <c s="26" r="N1487">
        <v>2.8</v>
      </c>
      <c s="23" r="O1487">
        <v>0.013</v>
      </c>
      <c s="7" r="P1487"/>
      <c s="7" r="Q1487"/>
      <c s="7" r="R1487">
        <f>IF((P1487&gt;0),O1487,0)</f>
        <v>0</v>
      </c>
      <c t="str" r="S1487">
        <f>CONCATENATE(F1487,E1487)</f>
        <v>NON FTLNON FTL</v>
      </c>
    </row>
    <row r="1488">
      <c t="s" s="7" r="A1488">
        <v>201</v>
      </c>
      <c s="7" r="B1488">
        <v>1515</v>
      </c>
      <c s="30" r="C1488">
        <v>22</v>
      </c>
      <c t="s" s="30" r="D1488">
        <v>147</v>
      </c>
      <c t="s" s="30" r="E1488">
        <v>4</v>
      </c>
      <c t="s" s="30" r="F1488">
        <v>4</v>
      </c>
      <c t="s" s="30" r="G1488">
        <v>250</v>
      </c>
      <c t="str" s="12" r="H1488">
        <f>HYPERLINK("http://sofifa.com/en/fifa13winter/player/145186-matteo-contini","M. Contini")</f>
        <v>M. Contini</v>
      </c>
      <c s="30" r="I1488">
        <v>70</v>
      </c>
      <c t="s" s="30" r="J1488">
        <v>113</v>
      </c>
      <c t="s" s="30" r="K1488">
        <v>167</v>
      </c>
      <c t="s" s="30" r="L1488">
        <v>137</v>
      </c>
      <c s="30" r="M1488">
        <v>32</v>
      </c>
      <c s="26" r="N1488">
        <v>1.4</v>
      </c>
      <c s="23" r="O1488">
        <v>0.008</v>
      </c>
      <c s="7" r="P1488"/>
      <c s="7" r="Q1488"/>
      <c s="7" r="R1488">
        <f>IF((P1488&gt;0),O1488,0)</f>
        <v>0</v>
      </c>
      <c t="str" r="S1488">
        <f>CONCATENATE(F1488,E1488)</f>
        <v>NON FTLNON FTL</v>
      </c>
    </row>
    <row r="1489">
      <c t="s" s="7" r="A1489">
        <v>201</v>
      </c>
      <c s="7" r="B1489">
        <v>1516</v>
      </c>
      <c s="30" r="C1489">
        <v>32</v>
      </c>
      <c t="s" s="30" r="D1489">
        <v>147</v>
      </c>
      <c t="s" s="30" r="E1489">
        <v>4</v>
      </c>
      <c t="s" s="30" r="F1489">
        <v>4</v>
      </c>
      <c t="s" s="30" r="G1489">
        <v>250</v>
      </c>
      <c t="str" s="12" r="H1489">
        <f>HYPERLINK("http://sofifa.com/en/fifa13winter/player/145594-michele-ferri","M. Ferri")</f>
        <v>M. Ferri</v>
      </c>
      <c s="30" r="I1489">
        <v>68</v>
      </c>
      <c t="s" s="30" r="J1489">
        <v>117</v>
      </c>
      <c t="s" s="30" r="K1489">
        <v>143</v>
      </c>
      <c t="s" s="30" r="L1489">
        <v>137</v>
      </c>
      <c s="30" r="M1489">
        <v>31</v>
      </c>
      <c s="26" r="N1489">
        <v>1.2</v>
      </c>
      <c s="23" r="O1489">
        <v>0.007</v>
      </c>
      <c s="7" r="P1489"/>
      <c s="7" r="Q1489"/>
      <c s="7" r="R1489">
        <f>IF((P1489&gt;0),O1489,0)</f>
        <v>0</v>
      </c>
      <c t="str" r="S1489">
        <f>CONCATENATE(F1489,E1489)</f>
        <v>NON FTLNON FTL</v>
      </c>
    </row>
    <row r="1490">
      <c t="s" s="7" r="A1490">
        <v>201</v>
      </c>
      <c s="7" r="B1490">
        <v>1517</v>
      </c>
      <c s="30" r="C1490">
        <v>16</v>
      </c>
      <c t="s" s="30" r="D1490">
        <v>147</v>
      </c>
      <c t="s" s="30" r="E1490">
        <v>4</v>
      </c>
      <c t="s" s="30" r="F1490">
        <v>4</v>
      </c>
      <c t="s" s="30" r="G1490">
        <v>250</v>
      </c>
      <c t="str" s="12" r="H1490">
        <f>HYPERLINK("http://sofifa.com/en/fifa13winter/player/144816-ciro-polito","C. Polito")</f>
        <v>C. Polito</v>
      </c>
      <c s="30" r="I1490">
        <v>70</v>
      </c>
      <c t="s" s="30" r="J1490">
        <v>106</v>
      </c>
      <c t="s" s="30" r="K1490">
        <v>110</v>
      </c>
      <c t="s" s="30" r="L1490">
        <v>161</v>
      </c>
      <c s="30" r="M1490">
        <v>33</v>
      </c>
      <c s="26" r="N1490">
        <v>1.1</v>
      </c>
      <c s="23" r="O1490">
        <v>0.008</v>
      </c>
      <c s="7" r="P1490"/>
      <c s="7" r="Q1490"/>
      <c s="7" r="R1490">
        <f>IF((P1490&gt;0),O1490,0)</f>
        <v>0</v>
      </c>
      <c t="str" r="S1490">
        <f>CONCATENATE(F1490,E1490)</f>
        <v>NON FTLNON FTL</v>
      </c>
    </row>
    <row r="1491">
      <c t="s" s="7" r="A1491">
        <v>201</v>
      </c>
      <c s="7" r="B1491">
        <v>1518</v>
      </c>
      <c s="30" r="C1491">
        <v>94</v>
      </c>
      <c t="s" s="30" r="D1491">
        <v>147</v>
      </c>
      <c t="s" s="30" r="E1491">
        <v>4</v>
      </c>
      <c t="s" s="30" r="F1491">
        <v>4</v>
      </c>
      <c t="s" s="30" r="G1491">
        <v>250</v>
      </c>
      <c t="str" s="12" r="H1491">
        <f>HYPERLINK("http://sofifa.com/en/fifa13winter/player/150196-antonio-palma","A. Palma")</f>
        <v>A. Palma</v>
      </c>
      <c s="30" r="I1491">
        <v>59</v>
      </c>
      <c t="s" s="30" r="J1491">
        <v>124</v>
      </c>
      <c t="s" s="30" r="K1491">
        <v>159</v>
      </c>
      <c t="s" s="30" r="L1491">
        <v>163</v>
      </c>
      <c s="30" r="M1491">
        <v>18</v>
      </c>
      <c s="26" r="N1491">
        <v>0.4</v>
      </c>
      <c s="23" r="O1491">
        <v>0.002</v>
      </c>
      <c s="7" r="P1491"/>
      <c s="7" r="Q1491"/>
      <c s="7" r="R1491">
        <f>IF((P1491&gt;0),O1491,0)</f>
        <v>0</v>
      </c>
      <c t="str" r="S1491">
        <f>CONCATENATE(F1491,E1491)</f>
        <v>NON FTLNON FTL</v>
      </c>
    </row>
    <row r="1492">
      <c t="s" s="7" r="A1492">
        <v>201</v>
      </c>
      <c s="7" r="B1492">
        <v>1519</v>
      </c>
      <c s="30" r="C1492">
        <v>1</v>
      </c>
      <c t="s" s="30" r="D1492">
        <v>106</v>
      </c>
      <c t="s" s="30" r="E1492">
        <v>4</v>
      </c>
      <c t="s" s="30" r="F1492">
        <v>4</v>
      </c>
      <c t="s" s="30" r="G1492">
        <v>252</v>
      </c>
      <c t="str" s="12" r="H1492">
        <f>HYPERLINK("http://sofifa.com/en/fifa13winter/player/145157-sebastien-frey","S. Frey")</f>
        <v>S. Frey</v>
      </c>
      <c s="30" r="I1492">
        <v>80</v>
      </c>
      <c t="s" s="30" r="J1492">
        <v>106</v>
      </c>
      <c t="s" s="30" r="K1492">
        <v>169</v>
      </c>
      <c t="s" s="30" r="L1492">
        <v>179</v>
      </c>
      <c s="30" r="M1492">
        <v>32</v>
      </c>
      <c s="26" r="N1492">
        <v>6</v>
      </c>
      <c s="23" r="O1492">
        <v>0.036</v>
      </c>
      <c s="7" r="P1492"/>
      <c s="7" r="Q1492"/>
      <c s="7" r="R1492">
        <f>IF((P1492&gt;0),O1492,0)</f>
        <v>0</v>
      </c>
      <c t="str" r="S1492">
        <f>CONCATENATE(F1492,E1492)</f>
        <v>NON FTLNON FTL</v>
      </c>
    </row>
    <row r="1493">
      <c t="s" s="7" r="A1493">
        <v>201</v>
      </c>
      <c s="7" r="B1493">
        <v>1520</v>
      </c>
      <c s="30" r="C1493">
        <v>87</v>
      </c>
      <c t="s" s="30" r="D1493">
        <v>109</v>
      </c>
      <c t="s" s="30" r="E1493">
        <v>4</v>
      </c>
      <c t="s" s="30" r="F1493">
        <v>4</v>
      </c>
      <c t="s" s="30" r="G1493">
        <v>252</v>
      </c>
      <c t="str" s="12" r="H1493">
        <f>HYPERLINK("http://sofifa.com/en/fifa13winter/player/147726-eros-pisano","E. Pisano")</f>
        <v>E. Pisano</v>
      </c>
      <c s="30" r="I1493">
        <v>71</v>
      </c>
      <c t="s" s="30" r="J1493">
        <v>109</v>
      </c>
      <c t="s" s="30" r="K1493">
        <v>132</v>
      </c>
      <c t="s" s="30" r="L1493">
        <v>138</v>
      </c>
      <c s="30" r="M1493">
        <v>25</v>
      </c>
      <c s="26" r="N1493">
        <v>2.1</v>
      </c>
      <c s="23" r="O1493">
        <v>0.008</v>
      </c>
      <c s="7" r="P1493"/>
      <c s="7" r="Q1493"/>
      <c s="7" r="R1493">
        <f>IF((P1493&gt;0),O1493,0)</f>
        <v>0</v>
      </c>
      <c t="str" r="S1493">
        <f>CONCATENATE(F1493,E1493)</f>
        <v>NON FTLNON FTL</v>
      </c>
    </row>
    <row r="1494">
      <c t="s" s="7" r="A1494">
        <v>201</v>
      </c>
      <c s="7" r="B1494">
        <v>1521</v>
      </c>
      <c s="30" r="C1494">
        <v>90</v>
      </c>
      <c t="s" s="30" r="D1494">
        <v>112</v>
      </c>
      <c t="s" s="30" r="E1494">
        <v>4</v>
      </c>
      <c t="s" s="30" r="F1494">
        <v>4</v>
      </c>
      <c t="s" s="30" r="G1494">
        <v>252</v>
      </c>
      <c t="str" s="12" r="H1494">
        <f>HYPERLINK("http://sofifa.com/en/fifa13winter/player/144700-daniele-portanova","D. Portanova")</f>
        <v>D. Portanova</v>
      </c>
      <c s="30" r="I1494">
        <v>74</v>
      </c>
      <c t="s" s="30" r="J1494">
        <v>113</v>
      </c>
      <c t="s" s="30" r="K1494">
        <v>132</v>
      </c>
      <c t="s" s="30" r="L1494">
        <v>161</v>
      </c>
      <c s="30" r="M1494">
        <v>33</v>
      </c>
      <c s="26" r="N1494">
        <v>2.3</v>
      </c>
      <c s="23" r="O1494">
        <v>0.013</v>
      </c>
      <c s="7" r="P1494"/>
      <c s="7" r="Q1494"/>
      <c s="7" r="R1494">
        <f>IF((P1494&gt;0),O1494,0)</f>
        <v>0</v>
      </c>
      <c t="str" r="S1494">
        <f>CONCATENATE(F1494,E1494)</f>
        <v>NON FTLNON FTL</v>
      </c>
    </row>
    <row r="1495">
      <c t="s" s="7" r="A1495">
        <v>201</v>
      </c>
      <c s="7" r="B1495">
        <v>1522</v>
      </c>
      <c s="30" r="C1495">
        <v>21</v>
      </c>
      <c t="s" s="30" r="D1495">
        <v>116</v>
      </c>
      <c t="s" s="30" r="E1495">
        <v>4</v>
      </c>
      <c t="s" s="30" r="F1495">
        <v>4</v>
      </c>
      <c t="s" s="30" r="G1495">
        <v>252</v>
      </c>
      <c t="str" s="12" r="H1495">
        <f>HYPERLINK("http://sofifa.com/en/fifa13winter/player/145227-thomas-manfredini","T. Manfredini")</f>
        <v>T. Manfredini</v>
      </c>
      <c s="30" r="I1495">
        <v>76</v>
      </c>
      <c t="s" s="30" r="J1495">
        <v>113</v>
      </c>
      <c t="s" s="30" r="K1495">
        <v>114</v>
      </c>
      <c t="s" s="30" r="L1495">
        <v>146</v>
      </c>
      <c s="30" r="M1495">
        <v>32</v>
      </c>
      <c s="26" r="N1495">
        <v>3.6</v>
      </c>
      <c s="23" r="O1495">
        <v>0.018</v>
      </c>
      <c s="7" r="P1495"/>
      <c s="7" r="Q1495"/>
      <c s="7" r="R1495">
        <f>IF((P1495&gt;0),O1495,0)</f>
        <v>0</v>
      </c>
      <c t="str" r="S1495">
        <f>CONCATENATE(F1495,E1495)</f>
        <v>NON FTLNON FTL</v>
      </c>
    </row>
    <row r="1496">
      <c t="s" s="7" r="A1496">
        <v>201</v>
      </c>
      <c s="7" r="B1496">
        <v>1523</v>
      </c>
      <c s="30" r="C1496">
        <v>13</v>
      </c>
      <c t="s" s="30" r="D1496">
        <v>117</v>
      </c>
      <c t="s" s="30" r="E1496">
        <v>4</v>
      </c>
      <c t="s" s="30" r="F1496">
        <v>4</v>
      </c>
      <c t="s" s="30" r="G1496">
        <v>252</v>
      </c>
      <c t="str" s="12" r="H1496">
        <f>HYPERLINK("http://sofifa.com/en/fifa13winter/player/147678-luca-antonelli","L. Antonelli")</f>
        <v>L. Antonelli</v>
      </c>
      <c s="30" r="I1496">
        <v>73</v>
      </c>
      <c t="s" s="30" r="J1496">
        <v>117</v>
      </c>
      <c t="s" s="30" r="K1496">
        <v>167</v>
      </c>
      <c t="s" s="30" r="L1496">
        <v>158</v>
      </c>
      <c s="30" r="M1496">
        <v>25</v>
      </c>
      <c s="26" r="N1496">
        <v>2.8</v>
      </c>
      <c s="23" r="O1496">
        <v>0.01</v>
      </c>
      <c s="7" r="P1496"/>
      <c s="7" r="Q1496"/>
      <c s="7" r="R1496">
        <f>IF((P1496&gt;0),O1496,0)</f>
        <v>0</v>
      </c>
      <c t="str" r="S1496">
        <f>CONCATENATE(F1496,E1496)</f>
        <v>NON FTLNON FTL</v>
      </c>
    </row>
    <row r="1497">
      <c t="s" s="7" r="A1497">
        <v>201</v>
      </c>
      <c s="7" r="B1497">
        <v>1524</v>
      </c>
      <c s="30" r="C1497">
        <v>14</v>
      </c>
      <c t="s" s="30" r="D1497">
        <v>123</v>
      </c>
      <c t="s" s="30" r="E1497">
        <v>4</v>
      </c>
      <c t="s" s="30" r="F1497">
        <v>4</v>
      </c>
      <c t="s" s="30" r="G1497">
        <v>252</v>
      </c>
      <c t="str" s="12" r="H1497">
        <f>HYPERLINK("http://sofifa.com/en/fifa13winter/player/145084-marco-rigoni","M. Rigoni")</f>
        <v>M. Rigoni</v>
      </c>
      <c s="30" r="I1497">
        <v>73</v>
      </c>
      <c t="s" s="30" r="J1497">
        <v>124</v>
      </c>
      <c t="s" s="30" r="K1497">
        <v>139</v>
      </c>
      <c t="s" s="30" r="L1497">
        <v>115</v>
      </c>
      <c s="30" r="M1497">
        <v>32</v>
      </c>
      <c s="26" r="N1497">
        <v>2.2</v>
      </c>
      <c s="23" r="O1497">
        <v>0.012</v>
      </c>
      <c s="7" r="P1497"/>
      <c s="7" r="Q1497"/>
      <c s="7" r="R1497">
        <f>IF((P1497&gt;0),O1497,0)</f>
        <v>0</v>
      </c>
      <c t="str" r="S1497">
        <f>CONCATENATE(F1497,E1497)</f>
        <v>NON FTLNON FTL</v>
      </c>
    </row>
    <row r="1498">
      <c t="s" s="7" r="A1498">
        <v>201</v>
      </c>
      <c s="7" r="B1498">
        <v>1525</v>
      </c>
      <c s="30" r="C1498">
        <v>28</v>
      </c>
      <c t="s" s="30" r="D1498">
        <v>124</v>
      </c>
      <c t="s" s="30" r="E1498">
        <v>4</v>
      </c>
      <c t="s" s="30" r="F1498">
        <v>4</v>
      </c>
      <c t="s" s="30" r="G1498">
        <v>252</v>
      </c>
      <c t="str" s="12" r="H1498">
        <f>HYPERLINK("http://sofifa.com/en/fifa13winter/player/147038-daniel-tozser","D. Tőzsér")</f>
        <v>D. Tőzsér</v>
      </c>
      <c s="30" r="I1498">
        <v>72</v>
      </c>
      <c t="s" s="30" r="J1498">
        <v>124</v>
      </c>
      <c t="s" s="30" r="K1498">
        <v>132</v>
      </c>
      <c t="s" s="30" r="L1498">
        <v>160</v>
      </c>
      <c s="30" r="M1498">
        <v>27</v>
      </c>
      <c s="26" r="N1498">
        <v>2.7</v>
      </c>
      <c s="23" r="O1498">
        <v>0.009</v>
      </c>
      <c s="7" r="P1498"/>
      <c s="7" r="Q1498"/>
      <c s="7" r="R1498">
        <f>IF((P1498&gt;0),O1498,0)</f>
        <v>0</v>
      </c>
      <c t="str" r="S1498">
        <f>CONCATENATE(F1498,E1498)</f>
        <v>NON FTLNON FTL</v>
      </c>
    </row>
    <row r="1499">
      <c t="s" s="7" r="A1499">
        <v>201</v>
      </c>
      <c s="7" r="B1499">
        <v>1526</v>
      </c>
      <c s="30" r="C1499">
        <v>91</v>
      </c>
      <c t="s" s="30" r="D1499">
        <v>126</v>
      </c>
      <c t="s" s="30" r="E1499">
        <v>4</v>
      </c>
      <c t="s" s="30" r="F1499">
        <v>4</v>
      </c>
      <c t="s" s="30" r="G1499">
        <v>252</v>
      </c>
      <c t="str" s="12" r="H1499">
        <f>HYPERLINK("http://sofifa.com/en/fifa13winter/player/149108-andrea-bertolacci","A. Bertolacci")</f>
        <v>A. Bertolacci</v>
      </c>
      <c s="30" r="I1499">
        <v>73</v>
      </c>
      <c t="s" s="30" r="J1499">
        <v>162</v>
      </c>
      <c t="s" s="30" r="K1499">
        <v>145</v>
      </c>
      <c t="s" s="30" r="L1499">
        <v>151</v>
      </c>
      <c s="30" r="M1499">
        <v>21</v>
      </c>
      <c s="26" r="N1499">
        <v>3.8</v>
      </c>
      <c s="23" r="O1499">
        <v>0.009</v>
      </c>
      <c s="7" r="P1499"/>
      <c s="7" r="Q1499"/>
      <c s="7" r="R1499">
        <f>IF((P1499&gt;0),O1499,0)</f>
        <v>0</v>
      </c>
      <c t="str" r="S1499">
        <f>CONCATENATE(F1499,E1499)</f>
        <v>NON FTLNON FTL</v>
      </c>
    </row>
    <row r="1500">
      <c t="s" s="7" r="A1500">
        <v>201</v>
      </c>
      <c s="7" r="B1500">
        <v>1527</v>
      </c>
      <c s="30" r="C1500">
        <v>83</v>
      </c>
      <c t="s" s="30" r="D1500">
        <v>157</v>
      </c>
      <c t="s" s="30" r="E1500">
        <v>4</v>
      </c>
      <c t="s" s="30" r="F1500">
        <v>4</v>
      </c>
      <c t="s" s="30" r="G1500">
        <v>252</v>
      </c>
      <c t="str" s="12" r="H1500">
        <f>HYPERLINK("http://sofifa.com/en/fifa13winter/player/146344-antonio-floro-flores","A. Floro Flores")</f>
        <v>A. Floro Flores</v>
      </c>
      <c s="30" r="I1500">
        <v>75</v>
      </c>
      <c t="s" s="30" r="J1500">
        <v>129</v>
      </c>
      <c t="s" s="30" r="K1500">
        <v>150</v>
      </c>
      <c t="s" s="30" r="L1500">
        <v>115</v>
      </c>
      <c s="30" r="M1500">
        <v>29</v>
      </c>
      <c s="26" r="N1500">
        <v>4.5</v>
      </c>
      <c s="23" r="O1500">
        <v>0.014</v>
      </c>
      <c s="7" r="P1500"/>
      <c s="7" r="Q1500"/>
      <c s="7" r="R1500">
        <f>IF((P1500&gt;0),O1500,0)</f>
        <v>0</v>
      </c>
      <c t="str" r="S1500">
        <f>CONCATENATE(F1500,E1500)</f>
        <v>NON FTLNON FTL</v>
      </c>
    </row>
    <row r="1501">
      <c t="s" s="7" r="A1501">
        <v>201</v>
      </c>
      <c s="7" r="B1501">
        <v>1528</v>
      </c>
      <c s="30" r="C1501">
        <v>22</v>
      </c>
      <c t="s" s="30" r="D1501">
        <v>129</v>
      </c>
      <c t="s" s="30" r="E1501">
        <v>4</v>
      </c>
      <c t="s" s="30" r="F1501">
        <v>4</v>
      </c>
      <c t="s" s="30" r="G1501">
        <v>252</v>
      </c>
      <c t="str" s="12" r="H1501">
        <f>HYPERLINK("http://sofifa.com/en/fifa13winter/player/145979-marco-borriello","M. Borriello")</f>
        <v>M. Borriello</v>
      </c>
      <c s="30" r="I1501">
        <v>76</v>
      </c>
      <c t="s" s="30" r="J1501">
        <v>129</v>
      </c>
      <c t="s" s="30" r="K1501">
        <v>114</v>
      </c>
      <c t="s" s="30" r="L1501">
        <v>119</v>
      </c>
      <c s="30" r="M1501">
        <v>30</v>
      </c>
      <c s="26" r="N1501">
        <v>5</v>
      </c>
      <c s="23" r="O1501">
        <v>0.017</v>
      </c>
      <c s="7" r="P1501"/>
      <c s="7" r="Q1501"/>
      <c s="7" r="R1501">
        <f>IF((P1501&gt;0),O1501,0)</f>
        <v>0</v>
      </c>
      <c t="str" r="S1501">
        <f>CONCATENATE(F1501,E1501)</f>
        <v>NON FTLNON FTL</v>
      </c>
    </row>
    <row r="1502">
      <c t="s" s="7" r="A1502">
        <v>201</v>
      </c>
      <c s="7" r="B1502">
        <v>1529</v>
      </c>
      <c s="30" r="C1502">
        <v>11</v>
      </c>
      <c t="s" s="30" r="D1502">
        <v>170</v>
      </c>
      <c t="s" s="30" r="E1502">
        <v>4</v>
      </c>
      <c t="s" s="30" r="F1502">
        <v>4</v>
      </c>
      <c t="s" s="30" r="G1502">
        <v>252</v>
      </c>
      <c t="str" s="12" r="H1502">
        <f>HYPERLINK("http://sofifa.com/en/fifa13winter/player/146601-bosko-jankovic","B. Janković")</f>
        <v>B. Janković</v>
      </c>
      <c s="30" r="I1502">
        <v>75</v>
      </c>
      <c t="s" s="30" r="J1502">
        <v>120</v>
      </c>
      <c t="s" s="30" r="K1502">
        <v>110</v>
      </c>
      <c t="s" s="30" r="L1502">
        <v>179</v>
      </c>
      <c s="30" r="M1502">
        <v>28</v>
      </c>
      <c s="26" r="N1502">
        <v>4.1</v>
      </c>
      <c s="23" r="O1502">
        <v>0.013</v>
      </c>
      <c s="7" r="P1502"/>
      <c s="7" r="Q1502"/>
      <c s="7" r="R1502">
        <f>IF((P1502&gt;0),O1502,0)</f>
        <v>0</v>
      </c>
      <c t="str" r="S1502">
        <f>CONCATENATE(F1502,E1502)</f>
        <v>NON FTLNON FTL</v>
      </c>
    </row>
    <row r="1503">
      <c t="s" s="7" r="A1503">
        <v>201</v>
      </c>
      <c s="7" r="B1503">
        <v>1530</v>
      </c>
      <c s="30" r="C1503">
        <v>17</v>
      </c>
      <c t="s" s="30" r="D1503">
        <v>136</v>
      </c>
      <c t="s" s="30" r="E1503">
        <v>4</v>
      </c>
      <c t="s" s="30" r="F1503">
        <v>4</v>
      </c>
      <c t="s" s="30" r="G1503">
        <v>252</v>
      </c>
      <c t="str" s="12" r="H1503">
        <f>HYPERLINK("http://sofifa.com/en/fifa13winter/player/148783-ciro-immobile","C. Immobile")</f>
        <v>C. Immobile</v>
      </c>
      <c s="30" r="I1503">
        <v>75</v>
      </c>
      <c t="s" s="30" r="J1503">
        <v>129</v>
      </c>
      <c t="s" s="30" r="K1503">
        <v>132</v>
      </c>
      <c t="s" s="30" r="L1503">
        <v>161</v>
      </c>
      <c s="30" r="M1503">
        <v>22</v>
      </c>
      <c s="26" r="N1503">
        <v>5.3</v>
      </c>
      <c s="23" r="O1503">
        <v>0.012</v>
      </c>
      <c s="7" r="P1503"/>
      <c s="7" r="Q1503"/>
      <c s="7" r="R1503">
        <f>IF((P1503&gt;0),O1503,0)</f>
        <v>0</v>
      </c>
      <c t="str" r="S1503">
        <f>CONCATENATE(F1503,E1503)</f>
        <v>NON FTLNON FTL</v>
      </c>
    </row>
    <row r="1504">
      <c t="s" s="7" r="A1504">
        <v>201</v>
      </c>
      <c s="7" r="B1504">
        <v>1531</v>
      </c>
      <c s="30" r="C1504">
        <v>32</v>
      </c>
      <c t="s" s="30" r="D1504">
        <v>136</v>
      </c>
      <c t="s" s="30" r="E1504">
        <v>4</v>
      </c>
      <c t="s" s="30" r="F1504">
        <v>4</v>
      </c>
      <c t="s" s="30" r="G1504">
        <v>252</v>
      </c>
      <c t="str" s="12" r="H1504">
        <f>HYPERLINK("http://sofifa.com/en/fifa13winter/player/148920-antonio-donnarumma","A. Donnarumma")</f>
        <v>A. Donnarumma</v>
      </c>
      <c s="30" r="I1504">
        <v>65</v>
      </c>
      <c t="s" s="30" r="J1504">
        <v>106</v>
      </c>
      <c t="s" s="30" r="K1504">
        <v>165</v>
      </c>
      <c t="s" s="30" r="L1504">
        <v>166</v>
      </c>
      <c s="30" r="M1504">
        <v>22</v>
      </c>
      <c s="26" r="N1504">
        <v>0.9</v>
      </c>
      <c s="23" r="O1504">
        <v>0.004</v>
      </c>
      <c s="7" r="P1504"/>
      <c s="7" r="Q1504"/>
      <c s="7" r="R1504">
        <f>IF((P1504&gt;0),O1504,0)</f>
        <v>0</v>
      </c>
      <c t="str" r="S1504">
        <f>CONCATENATE(F1504,E1504)</f>
        <v>NON FTLNON FTL</v>
      </c>
    </row>
    <row r="1505">
      <c t="s" s="7" r="A1505">
        <v>201</v>
      </c>
      <c s="7" r="B1505">
        <v>1532</v>
      </c>
      <c s="30" r="C1505">
        <v>19</v>
      </c>
      <c t="s" s="30" r="D1505">
        <v>136</v>
      </c>
      <c t="s" s="30" r="E1505">
        <v>4</v>
      </c>
      <c t="s" s="30" r="F1505">
        <v>4</v>
      </c>
      <c t="s" s="30" r="G1505">
        <v>252</v>
      </c>
      <c t="str" s="12" r="H1505">
        <f>HYPERLINK("http://sofifa.com/en/fifa13winter/player/148218-cristobal-jorquera","C. Jorquera")</f>
        <v>C. Jorquera</v>
      </c>
      <c s="30" r="I1505">
        <v>73</v>
      </c>
      <c t="s" s="30" r="J1505">
        <v>162</v>
      </c>
      <c t="s" s="30" r="K1505">
        <v>182</v>
      </c>
      <c t="s" s="30" r="L1505">
        <v>111</v>
      </c>
      <c s="30" r="M1505">
        <v>24</v>
      </c>
      <c s="26" r="N1505">
        <v>3.5</v>
      </c>
      <c s="23" r="O1505">
        <v>0.01</v>
      </c>
      <c s="7" r="P1505"/>
      <c s="7" r="Q1505"/>
      <c s="7" r="R1505">
        <f>IF((P1505&gt;0),O1505,0)</f>
        <v>0</v>
      </c>
      <c t="str" r="S1505">
        <f>CONCATENATE(F1505,E1505)</f>
        <v>NON FTLNON FTL</v>
      </c>
    </row>
    <row r="1506">
      <c t="s" s="7" r="A1506">
        <v>201</v>
      </c>
      <c s="7" r="B1506">
        <v>1533</v>
      </c>
      <c s="30" r="C1506">
        <v>30</v>
      </c>
      <c t="s" s="30" r="D1506">
        <v>136</v>
      </c>
      <c t="s" s="30" r="E1506">
        <v>4</v>
      </c>
      <c t="s" s="30" r="F1506">
        <v>4</v>
      </c>
      <c t="s" s="30" r="G1506">
        <v>252</v>
      </c>
      <c t="str" s="12" r="H1506">
        <f>HYPERLINK("http://sofifa.com/en/fifa13winter/player/146034-alexandros-tzorvas","A. Tzorvas")</f>
        <v>A. Tzorvas</v>
      </c>
      <c s="30" r="I1506">
        <v>72</v>
      </c>
      <c t="s" s="30" r="J1506">
        <v>106</v>
      </c>
      <c t="s" s="30" r="K1506">
        <v>134</v>
      </c>
      <c t="s" s="30" r="L1506">
        <v>153</v>
      </c>
      <c s="30" r="M1506">
        <v>30</v>
      </c>
      <c s="26" r="N1506">
        <v>1.8</v>
      </c>
      <c s="23" r="O1506">
        <v>0.01</v>
      </c>
      <c s="7" r="P1506"/>
      <c s="7" r="Q1506"/>
      <c s="7" r="R1506">
        <f>IF((P1506&gt;0),O1506,0)</f>
        <v>0</v>
      </c>
      <c t="str" r="S1506">
        <f>CONCATENATE(F1506,E1506)</f>
        <v>NON FTLNON FTL</v>
      </c>
    </row>
    <row r="1507">
      <c t="s" s="7" r="A1507">
        <v>201</v>
      </c>
      <c s="7" r="B1507">
        <v>1534</v>
      </c>
      <c s="30" r="C1507">
        <v>29</v>
      </c>
      <c t="s" s="30" r="D1507">
        <v>136</v>
      </c>
      <c t="s" s="30" r="E1507">
        <v>4</v>
      </c>
      <c t="s" s="30" r="F1507">
        <v>4</v>
      </c>
      <c t="s" s="30" r="G1507">
        <v>252</v>
      </c>
      <c t="str" s="12" r="H1507">
        <f>HYPERLINK("http://sofifa.com/en/fifa13winter/player/147836-enis-nadarevic","E. Nadarevic")</f>
        <v>E. Nadarevic</v>
      </c>
      <c s="30" r="I1507">
        <v>65</v>
      </c>
      <c t="s" s="30" r="J1507">
        <v>128</v>
      </c>
      <c t="s" s="30" r="K1507">
        <v>167</v>
      </c>
      <c t="s" s="30" r="L1507">
        <v>161</v>
      </c>
      <c s="30" r="M1507">
        <v>25</v>
      </c>
      <c s="26" r="N1507">
        <v>1</v>
      </c>
      <c s="23" r="O1507">
        <v>0.005</v>
      </c>
      <c s="7" r="P1507"/>
      <c s="7" r="Q1507"/>
      <c s="7" r="R1507">
        <f>IF((P1507&gt;0),O1507,0)</f>
        <v>0</v>
      </c>
      <c t="str" r="S1507">
        <f>CONCATENATE(F1507,E1507)</f>
        <v>NON FTLNON FTL</v>
      </c>
    </row>
    <row r="1508">
      <c t="s" s="7" r="A1508">
        <v>201</v>
      </c>
      <c s="7" r="B1508">
        <v>1535</v>
      </c>
      <c s="30" r="C1508">
        <v>24</v>
      </c>
      <c t="s" s="30" r="D1508">
        <v>136</v>
      </c>
      <c t="s" s="30" r="E1508">
        <v>4</v>
      </c>
      <c t="s" s="30" r="F1508">
        <v>4</v>
      </c>
      <c t="s" s="30" r="G1508">
        <v>252</v>
      </c>
      <c t="str" s="12" r="H1508">
        <f>HYPERLINK("http://sofifa.com/en/fifa13winter/player/145607-emiliano-moretti","E. Moretti")</f>
        <v>E. Moretti</v>
      </c>
      <c s="30" r="I1508">
        <v>72</v>
      </c>
      <c t="s" s="30" r="J1508">
        <v>117</v>
      </c>
      <c t="s" s="30" r="K1508">
        <v>110</v>
      </c>
      <c t="s" s="30" r="L1508">
        <v>158</v>
      </c>
      <c s="30" r="M1508">
        <v>31</v>
      </c>
      <c s="26" r="N1508">
        <v>1.9</v>
      </c>
      <c s="23" r="O1508">
        <v>0.01</v>
      </c>
      <c s="7" r="P1508"/>
      <c s="7" r="Q1508"/>
      <c s="7" r="R1508">
        <f>IF((P1508&gt;0),O1508,0)</f>
        <v>0</v>
      </c>
      <c t="str" r="S1508">
        <f>CONCATENATE(F1508,E1508)</f>
        <v>NON FTLNON FTL</v>
      </c>
    </row>
    <row r="1509">
      <c t="s" s="7" r="A1509">
        <v>201</v>
      </c>
      <c s="7" r="B1509">
        <v>1536</v>
      </c>
      <c s="30" r="C1509">
        <v>27</v>
      </c>
      <c t="s" s="30" r="D1509">
        <v>136</v>
      </c>
      <c t="s" s="30" r="E1509">
        <v>4</v>
      </c>
      <c t="s" s="30" r="F1509">
        <v>4</v>
      </c>
      <c t="s" s="30" r="G1509">
        <v>252</v>
      </c>
      <c t="str" s="12" r="H1509">
        <f>HYPERLINK("http://sofifa.com/en/fifa13winter/player/145241-francelino-da-silva","Matuzalém")</f>
        <v>Matuzalém</v>
      </c>
      <c s="30" r="I1509">
        <v>74</v>
      </c>
      <c t="s" s="30" r="J1509">
        <v>124</v>
      </c>
      <c t="s" s="30" r="K1509">
        <v>118</v>
      </c>
      <c t="s" s="30" r="L1509">
        <v>160</v>
      </c>
      <c s="30" r="M1509">
        <v>32</v>
      </c>
      <c s="26" r="N1509">
        <v>2.5</v>
      </c>
      <c s="23" r="O1509">
        <v>0.013</v>
      </c>
      <c s="7" r="P1509"/>
      <c s="7" r="Q1509"/>
      <c s="7" r="R1509">
        <f>IF((P1509&gt;0),O1509,0)</f>
        <v>0</v>
      </c>
      <c t="str" r="S1509">
        <f>CONCATENATE(F1509,E1509)</f>
        <v>NON FTLNON FTL</v>
      </c>
    </row>
    <row r="1510">
      <c t="s" s="7" r="A1510">
        <v>201</v>
      </c>
      <c s="7" r="B1510">
        <v>1537</v>
      </c>
      <c s="30" r="C1510">
        <v>7</v>
      </c>
      <c t="s" s="30" r="D1510">
        <v>136</v>
      </c>
      <c t="s" s="30" r="E1510">
        <v>4</v>
      </c>
      <c t="s" s="30" r="F1510">
        <v>4</v>
      </c>
      <c t="s" s="30" r="G1510">
        <v>252</v>
      </c>
      <c t="str" s="12" r="H1510">
        <f>HYPERLINK("http://sofifa.com/en/fifa13winter/player/144440-marco-rossi","M. Rossi")</f>
        <v>M. Rossi</v>
      </c>
      <c s="30" r="I1510">
        <v>73</v>
      </c>
      <c t="s" s="30" r="J1510">
        <v>124</v>
      </c>
      <c t="s" s="30" r="K1510">
        <v>145</v>
      </c>
      <c t="s" s="30" r="L1510">
        <v>137</v>
      </c>
      <c s="30" r="M1510">
        <v>34</v>
      </c>
      <c s="26" r="N1510">
        <v>1.9</v>
      </c>
      <c s="23" r="O1510">
        <v>0.012</v>
      </c>
      <c s="7" r="P1510"/>
      <c s="7" r="Q1510"/>
      <c s="7" r="R1510">
        <f>IF((P1510&gt;0),O1510,0)</f>
        <v>0</v>
      </c>
      <c t="str" r="S1510">
        <f>CONCATENATE(F1510,E1510)</f>
        <v>NON FTLNON FTL</v>
      </c>
    </row>
    <row r="1511">
      <c t="s" s="7" r="A1511">
        <v>201</v>
      </c>
      <c s="7" r="B1511">
        <v>1538</v>
      </c>
      <c s="30" r="C1511">
        <v>4</v>
      </c>
      <c t="s" s="30" r="D1511">
        <v>136</v>
      </c>
      <c t="s" s="30" r="E1511">
        <v>4</v>
      </c>
      <c t="s" s="30" r="F1511">
        <v>4</v>
      </c>
      <c t="s" s="30" r="G1511">
        <v>252</v>
      </c>
      <c t="str" s="12" r="H1511">
        <f>HYPERLINK("http://sofifa.com/en/fifa13winter/player/146846-damiano-ferronetti","D. Ferronetti")</f>
        <v>D. Ferronetti</v>
      </c>
      <c s="30" r="I1511">
        <v>68</v>
      </c>
      <c t="s" s="30" r="J1511">
        <v>109</v>
      </c>
      <c t="s" s="30" r="K1511">
        <v>110</v>
      </c>
      <c t="s" s="30" r="L1511">
        <v>122</v>
      </c>
      <c s="30" r="M1511">
        <v>27</v>
      </c>
      <c s="26" r="N1511">
        <v>1.4</v>
      </c>
      <c s="23" r="O1511">
        <v>0.006</v>
      </c>
      <c s="7" r="P1511"/>
      <c s="7" r="Q1511"/>
      <c s="7" r="R1511">
        <f>IF((P1511&gt;0),O1511,0)</f>
        <v>0</v>
      </c>
      <c t="str" r="S1511">
        <f>CONCATENATE(F1511,E1511)</f>
        <v>NON FTLNON FTL</v>
      </c>
    </row>
    <row r="1512">
      <c t="s" s="7" r="A1512">
        <v>201</v>
      </c>
      <c s="7" r="B1512">
        <v>1539</v>
      </c>
      <c s="30" r="C1512">
        <v>10</v>
      </c>
      <c t="s" s="30" r="D1512">
        <v>136</v>
      </c>
      <c t="s" s="30" r="E1512">
        <v>4</v>
      </c>
      <c t="s" s="30" r="F1512">
        <v>4</v>
      </c>
      <c t="s" s="30" r="G1512">
        <v>252</v>
      </c>
      <c t="str" s="12" r="H1512">
        <f>HYPERLINK("http://sofifa.com/en/fifa13winter/player/146299-ruben-olivera","R. Olivera")</f>
        <v>R. Olivera</v>
      </c>
      <c s="30" r="I1512">
        <v>74</v>
      </c>
      <c t="s" s="30" r="J1512">
        <v>171</v>
      </c>
      <c t="s" s="30" r="K1512">
        <v>167</v>
      </c>
      <c t="s" s="30" r="L1512">
        <v>158</v>
      </c>
      <c s="30" r="M1512">
        <v>29</v>
      </c>
      <c s="26" r="N1512">
        <v>3.6</v>
      </c>
      <c s="23" r="O1512">
        <v>0.012</v>
      </c>
      <c s="7" r="P1512"/>
      <c s="7" r="Q1512"/>
      <c s="7" r="R1512">
        <f>IF((P1512&gt;0),O1512,0)</f>
        <v>0</v>
      </c>
      <c t="str" r="S1512">
        <f>CONCATENATE(F1512,E1512)</f>
        <v>NON FTLNON FTL</v>
      </c>
    </row>
    <row r="1513">
      <c t="s" s="7" r="A1513">
        <v>201</v>
      </c>
      <c s="7" r="B1513">
        <v>1540</v>
      </c>
      <c s="30" r="C1513">
        <v>26</v>
      </c>
      <c t="s" s="30" r="D1513">
        <v>136</v>
      </c>
      <c t="s" s="30" r="E1513">
        <v>4</v>
      </c>
      <c t="s" s="30" r="F1513">
        <v>4</v>
      </c>
      <c t="s" s="30" r="G1513">
        <v>252</v>
      </c>
      <c t="str" s="12" r="H1513">
        <f>HYPERLINK("http://sofifa.com/en/fifa13winter/player/146413-mattia-cassani","M. Cassani")</f>
        <v>M. Cassani</v>
      </c>
      <c s="30" r="I1513">
        <v>73</v>
      </c>
      <c t="s" s="30" r="J1513">
        <v>120</v>
      </c>
      <c t="s" s="30" r="K1513">
        <v>167</v>
      </c>
      <c t="s" s="30" r="L1513">
        <v>151</v>
      </c>
      <c s="30" r="M1513">
        <v>29</v>
      </c>
      <c s="26" r="N1513">
        <v>2.8</v>
      </c>
      <c s="23" r="O1513">
        <v>0.011</v>
      </c>
      <c s="7" r="P1513"/>
      <c s="7" r="Q1513"/>
      <c s="7" r="R1513">
        <f>IF((P1513&gt;0),O1513,0)</f>
        <v>0</v>
      </c>
      <c t="str" r="S1513">
        <f>CONCATENATE(F1513,E1513)</f>
        <v>NON FTLNON FTL</v>
      </c>
    </row>
    <row r="1514">
      <c t="s" s="7" r="A1514">
        <v>201</v>
      </c>
      <c s="7" r="B1514">
        <v>1541</v>
      </c>
      <c s="30" r="C1514">
        <v>3</v>
      </c>
      <c t="s" s="30" r="D1514">
        <v>136</v>
      </c>
      <c t="s" s="30" r="E1514">
        <v>4</v>
      </c>
      <c t="s" s="30" r="F1514">
        <v>4</v>
      </c>
      <c t="s" s="30" r="G1514">
        <v>252</v>
      </c>
      <c t="str" s="12" r="H1514">
        <f>HYPERLINK("http://sofifa.com/en/fifa13winter/player/146189-cesare-bovo","C. Bovo")</f>
        <v>C. Bovo</v>
      </c>
      <c s="30" r="I1514">
        <v>72</v>
      </c>
      <c t="s" s="30" r="J1514">
        <v>113</v>
      </c>
      <c t="s" s="30" r="K1514">
        <v>150</v>
      </c>
      <c t="s" s="30" r="L1514">
        <v>151</v>
      </c>
      <c s="30" r="M1514">
        <v>29</v>
      </c>
      <c s="26" r="N1514">
        <v>2.3</v>
      </c>
      <c s="23" r="O1514">
        <v>0.009</v>
      </c>
      <c s="7" r="P1514"/>
      <c s="7" r="Q1514"/>
      <c s="7" r="R1514">
        <f>IF((P1514&gt;0),O1514,0)</f>
        <v>0</v>
      </c>
      <c t="str" r="S1514">
        <f>CONCATENATE(F1514,E1514)</f>
        <v>NON FTLNON FTL</v>
      </c>
    </row>
    <row r="1515">
      <c t="s" s="7" r="A1515">
        <v>201</v>
      </c>
      <c s="7" r="B1515">
        <v>1542</v>
      </c>
      <c s="30" r="C1515">
        <v>33</v>
      </c>
      <c t="s" s="30" r="D1515">
        <v>147</v>
      </c>
      <c t="s" s="30" r="E1515">
        <v>4</v>
      </c>
      <c t="s" s="30" r="F1515">
        <v>4</v>
      </c>
      <c t="s" s="30" r="G1515">
        <v>252</v>
      </c>
      <c t="str" s="12" r="H1515">
        <f>HYPERLINK("http://sofifa.com/en/fifa13winter/player/147693-juraj-kucka","J. Kucka")</f>
        <v>J. Kucka</v>
      </c>
      <c s="30" r="I1515">
        <v>76</v>
      </c>
      <c t="s" s="30" r="J1515">
        <v>124</v>
      </c>
      <c t="s" s="30" r="K1515">
        <v>173</v>
      </c>
      <c t="s" s="30" r="L1515">
        <v>156</v>
      </c>
      <c s="30" r="M1515">
        <v>25</v>
      </c>
      <c s="26" r="N1515">
        <v>5.3</v>
      </c>
      <c s="23" r="O1515">
        <v>0.015</v>
      </c>
      <c s="7" r="P1515"/>
      <c s="7" r="Q1515"/>
      <c s="7" r="R1515">
        <f>IF((P1515&gt;0),O1515,0)</f>
        <v>0</v>
      </c>
      <c t="str" r="S1515">
        <f>CONCATENATE(F1515,E1515)</f>
        <v>NON FTLNON FTL</v>
      </c>
    </row>
    <row r="1516">
      <c t="s" s="7" r="A1516">
        <v>201</v>
      </c>
      <c s="7" r="B1516">
        <v>1543</v>
      </c>
      <c s="30" r="C1516">
        <v>8</v>
      </c>
      <c t="s" s="30" r="D1516">
        <v>147</v>
      </c>
      <c t="s" s="30" r="E1516">
        <v>4</v>
      </c>
      <c t="s" s="30" r="F1516">
        <v>4</v>
      </c>
      <c t="s" s="30" r="G1516">
        <v>252</v>
      </c>
      <c t="str" s="12" r="H1516">
        <f>HYPERLINK("http://sofifa.com/en/fifa13winter/player/146453-juan-manuel-vargas","J. Vargas")</f>
        <v>J. Vargas</v>
      </c>
      <c s="30" r="I1516">
        <v>78</v>
      </c>
      <c t="s" s="30" r="J1516">
        <v>128</v>
      </c>
      <c t="s" s="30" r="K1516">
        <v>114</v>
      </c>
      <c t="s" s="30" r="L1516">
        <v>138</v>
      </c>
      <c s="30" r="M1516">
        <v>28</v>
      </c>
      <c s="26" r="N1516">
        <v>6.4</v>
      </c>
      <c s="23" r="O1516">
        <v>0.02</v>
      </c>
      <c s="7" r="P1516"/>
      <c s="7" r="Q1516"/>
      <c s="7" r="R1516">
        <f>IF((P1516&gt;0),O1516,0)</f>
        <v>0</v>
      </c>
      <c t="str" r="S1516">
        <f>CONCATENATE(F1516,E1516)</f>
        <v>NON FTLNON FTL</v>
      </c>
    </row>
    <row r="1517">
      <c t="s" s="7" r="A1517">
        <v>201</v>
      </c>
      <c s="7" r="B1517">
        <v>1544</v>
      </c>
      <c s="30" r="C1517">
        <v>5</v>
      </c>
      <c t="s" s="30" r="D1517">
        <v>147</v>
      </c>
      <c t="s" s="30" r="E1517">
        <v>4</v>
      </c>
      <c t="s" s="30" r="F1517">
        <v>4</v>
      </c>
      <c t="s" s="30" r="G1517">
        <v>252</v>
      </c>
      <c t="str" s="12" r="H1517">
        <f>HYPERLINK("http://sofifa.com/en/fifa13winter/player/147012-andreas-granqvist","A. Granqvist")</f>
        <v>A. Granqvist</v>
      </c>
      <c s="30" r="I1517">
        <v>76</v>
      </c>
      <c t="s" s="30" r="J1517">
        <v>113</v>
      </c>
      <c t="s" s="30" r="K1517">
        <v>165</v>
      </c>
      <c t="s" s="30" r="L1517">
        <v>156</v>
      </c>
      <c s="30" r="M1517">
        <v>27</v>
      </c>
      <c s="26" r="N1517">
        <v>4.7</v>
      </c>
      <c s="23" r="O1517">
        <v>0.015</v>
      </c>
      <c s="7" r="P1517"/>
      <c s="7" r="Q1517"/>
      <c s="7" r="R1517">
        <f>IF((P1517&gt;0),O1517,0)</f>
        <v>0</v>
      </c>
      <c t="str" r="S1517">
        <f>CONCATENATE(F1517,E1517)</f>
        <v>NON FTLNON FTL</v>
      </c>
    </row>
    <row r="1518">
      <c t="s" s="7" r="A1518">
        <v>201</v>
      </c>
      <c s="7" r="B1518">
        <v>1545</v>
      </c>
      <c s="30" r="C1518">
        <v>1</v>
      </c>
      <c t="s" s="30" r="D1518">
        <v>106</v>
      </c>
      <c t="s" s="30" r="E1518">
        <v>4</v>
      </c>
      <c t="s" s="30" r="F1518">
        <v>4</v>
      </c>
      <c t="s" s="30" r="G1518">
        <v>253</v>
      </c>
      <c t="str" s="12" r="H1518">
        <f>HYPERLINK("http://sofifa.com/en/fifa13winter/player/148047-rui-pedro-dos-santos-patricio","Rui Patrício")</f>
        <v>Rui Patrício</v>
      </c>
      <c s="30" r="I1518">
        <v>82</v>
      </c>
      <c t="s" s="30" r="J1518">
        <v>106</v>
      </c>
      <c t="s" s="30" r="K1518">
        <v>152</v>
      </c>
      <c t="s" s="30" r="L1518">
        <v>156</v>
      </c>
      <c s="30" r="M1518">
        <v>24</v>
      </c>
      <c s="26" r="N1518">
        <v>11.5</v>
      </c>
      <c s="23" r="O1518">
        <v>0.053</v>
      </c>
      <c s="7" r="P1518"/>
      <c s="7" r="Q1518"/>
      <c s="7" r="R1518">
        <f>IF((P1518&gt;0),O1518,0)</f>
        <v>0</v>
      </c>
      <c t="str" r="S1518">
        <f>CONCATENATE(F1518,E1518)</f>
        <v>NON FTLNON FTL</v>
      </c>
    </row>
    <row r="1519">
      <c t="s" s="7" r="A1519">
        <v>201</v>
      </c>
      <c s="7" r="B1519">
        <v>1546</v>
      </c>
      <c s="30" r="C1519">
        <v>13</v>
      </c>
      <c t="s" s="30" r="D1519">
        <v>109</v>
      </c>
      <c t="s" s="30" r="E1519">
        <v>4</v>
      </c>
      <c t="s" s="30" r="F1519">
        <v>4</v>
      </c>
      <c t="s" s="30" r="G1519">
        <v>253</v>
      </c>
      <c t="str" s="12" r="H1519">
        <f>HYPERLINK("http://sofifa.com/en/fifa13winter/player/147624-hugo-miguel-almeida-costa-lopes","Miguel Lopes")</f>
        <v>Miguel Lopes</v>
      </c>
      <c s="30" r="I1519">
        <v>75</v>
      </c>
      <c t="s" s="30" r="J1519">
        <v>109</v>
      </c>
      <c t="s" s="30" r="K1519">
        <v>143</v>
      </c>
      <c t="s" s="30" r="L1519">
        <v>158</v>
      </c>
      <c s="30" r="M1519">
        <v>25</v>
      </c>
      <c s="26" r="N1519">
        <v>3.9</v>
      </c>
      <c s="23" r="O1519">
        <v>0.013</v>
      </c>
      <c s="7" r="P1519"/>
      <c s="7" r="Q1519"/>
      <c s="7" r="R1519">
        <f>IF((P1519&gt;0),O1519,0)</f>
        <v>0</v>
      </c>
      <c t="str" r="S1519">
        <f>CONCATENATE(F1519,E1519)</f>
        <v>NON FTLNON FTL</v>
      </c>
    </row>
    <row r="1520">
      <c t="s" s="7" r="A1520">
        <v>201</v>
      </c>
      <c s="7" r="B1520">
        <v>1547</v>
      </c>
      <c s="30" r="C1520">
        <v>34</v>
      </c>
      <c t="s" s="30" r="D1520">
        <v>112</v>
      </c>
      <c t="s" s="30" r="E1520">
        <v>4</v>
      </c>
      <c t="s" s="30" r="F1520">
        <v>4</v>
      </c>
      <c t="s" s="30" r="G1520">
        <v>253</v>
      </c>
      <c t="str" s="12" r="H1520">
        <f>HYPERLINK("http://sofifa.com/en/fifa13winter/player/149885-tiago-almeida-ilori","Ilori")</f>
        <v>Ilori</v>
      </c>
      <c s="30" r="I1520">
        <v>71</v>
      </c>
      <c t="s" s="30" r="J1520">
        <v>113</v>
      </c>
      <c t="s" s="30" r="K1520">
        <v>152</v>
      </c>
      <c t="s" s="30" r="L1520">
        <v>153</v>
      </c>
      <c s="30" r="M1520">
        <v>19</v>
      </c>
      <c s="26" r="N1520">
        <v>2.5</v>
      </c>
      <c s="23" r="O1520">
        <v>0.006</v>
      </c>
      <c s="7" r="P1520"/>
      <c s="7" r="Q1520"/>
      <c s="7" r="R1520">
        <f>IF((P1520&gt;0),O1520,0)</f>
        <v>0</v>
      </c>
      <c t="str" r="S1520">
        <f>CONCATENATE(F1520,E1520)</f>
        <v>NON FTLNON FTL</v>
      </c>
    </row>
    <row r="1521">
      <c t="s" s="7" r="A1521">
        <v>201</v>
      </c>
      <c s="7" r="B1521">
        <v>1548</v>
      </c>
      <c s="30" r="C1521">
        <v>15</v>
      </c>
      <c t="s" s="30" r="D1521">
        <v>116</v>
      </c>
      <c t="s" s="30" r="E1521">
        <v>4</v>
      </c>
      <c t="s" s="30" r="F1521">
        <v>4</v>
      </c>
      <c t="s" s="30" r="G1521">
        <v>253</v>
      </c>
      <c t="str" s="12" r="H1521">
        <f>HYPERLINK("http://sofifa.com/en/fifa13winter/player/148811-marcos-rojo","M. Rojo")</f>
        <v>M. Rojo</v>
      </c>
      <c s="30" r="I1521">
        <v>74</v>
      </c>
      <c t="s" s="30" r="J1521">
        <v>113</v>
      </c>
      <c t="s" s="30" r="K1521">
        <v>167</v>
      </c>
      <c t="s" s="30" r="L1521">
        <v>179</v>
      </c>
      <c s="30" r="M1521">
        <v>22</v>
      </c>
      <c s="26" r="N1521">
        <v>3.6</v>
      </c>
      <c s="23" r="O1521">
        <v>0.01</v>
      </c>
      <c s="7" r="P1521"/>
      <c s="7" r="Q1521"/>
      <c s="7" r="R1521">
        <f>IF((P1521&gt;0),O1521,0)</f>
        <v>0</v>
      </c>
      <c t="str" r="S1521">
        <f>CONCATENATE(F1521,E1521)</f>
        <v>NON FTLNON FTL</v>
      </c>
    </row>
    <row r="1522">
      <c t="s" s="7" r="A1522">
        <v>201</v>
      </c>
      <c s="7" r="B1522">
        <v>1549</v>
      </c>
      <c s="30" r="C1522">
        <v>5</v>
      </c>
      <c t="s" s="30" r="D1522">
        <v>117</v>
      </c>
      <c t="s" s="30" r="E1522">
        <v>4</v>
      </c>
      <c t="s" s="30" r="F1522">
        <v>4</v>
      </c>
      <c t="s" s="30" r="G1522">
        <v>253</v>
      </c>
      <c t="str" s="12" r="H1522">
        <f>HYPERLINK("http://sofifa.com/en/fifa13winter/player/148550-joao-carlos-reis-graca","Joãozinho")</f>
        <v>Joãozinho</v>
      </c>
      <c s="30" r="I1522">
        <v>69</v>
      </c>
      <c t="s" s="30" r="J1522">
        <v>117</v>
      </c>
      <c t="s" s="30" r="K1522">
        <v>132</v>
      </c>
      <c t="s" s="30" r="L1522">
        <v>111</v>
      </c>
      <c s="30" r="M1522">
        <v>23</v>
      </c>
      <c s="26" r="N1522">
        <v>1.7</v>
      </c>
      <c s="23" r="O1522">
        <v>0.006</v>
      </c>
      <c s="7" r="P1522"/>
      <c s="7" r="Q1522"/>
      <c s="7" r="R1522">
        <f>IF((P1522&gt;0),O1522,0)</f>
        <v>0</v>
      </c>
      <c t="str" r="S1522">
        <f>CONCATENATE(F1522,E1522)</f>
        <v>NON FTLNON FTL</v>
      </c>
    </row>
    <row r="1523">
      <c t="s" s="7" r="A1523">
        <v>201</v>
      </c>
      <c s="7" r="B1523">
        <v>1550</v>
      </c>
      <c s="30" r="C1523">
        <v>21</v>
      </c>
      <c t="s" s="30" r="D1523">
        <v>154</v>
      </c>
      <c t="s" s="30" r="E1523">
        <v>4</v>
      </c>
      <c t="s" s="30" r="F1523">
        <v>4</v>
      </c>
      <c t="s" s="30" r="G1523">
        <v>253</v>
      </c>
      <c t="str" s="12" r="H1523">
        <f>HYPERLINK("http://sofifa.com/en/fifa13winter/player/147764-fabian-rinaudo","F. Rinaudo")</f>
        <v>F. Rinaudo</v>
      </c>
      <c s="30" r="I1523">
        <v>78</v>
      </c>
      <c t="s" s="30" r="J1523">
        <v>154</v>
      </c>
      <c t="s" s="30" r="K1523">
        <v>139</v>
      </c>
      <c t="s" s="30" r="L1523">
        <v>137</v>
      </c>
      <c s="30" r="M1523">
        <v>25</v>
      </c>
      <c s="26" r="N1523">
        <v>6.1</v>
      </c>
      <c s="23" r="O1523">
        <v>0.019</v>
      </c>
      <c s="7" r="P1523"/>
      <c s="7" r="Q1523"/>
      <c s="7" r="R1523">
        <f>IF((P1523&gt;0),O1523,0)</f>
        <v>0</v>
      </c>
      <c t="str" r="S1523">
        <f>CONCATENATE(F1523,E1523)</f>
        <v>NON FTLNON FTL</v>
      </c>
    </row>
    <row r="1524">
      <c t="s" s="7" r="A1524">
        <v>201</v>
      </c>
      <c s="7" r="B1524">
        <v>1551</v>
      </c>
      <c s="30" r="C1524">
        <v>28</v>
      </c>
      <c t="s" s="30" r="D1524">
        <v>123</v>
      </c>
      <c t="s" s="30" r="E1524">
        <v>4</v>
      </c>
      <c t="s" s="30" r="F1524">
        <v>4</v>
      </c>
      <c t="s" s="30" r="G1524">
        <v>253</v>
      </c>
      <c t="str" s="12" r="H1524">
        <f>HYPERLINK("http://sofifa.com/en/fifa13winter/player/148753-andre-renato-soares-martins","André Martins")</f>
        <v>André Martins</v>
      </c>
      <c s="30" r="I1524">
        <v>74</v>
      </c>
      <c t="s" s="30" r="J1524">
        <v>124</v>
      </c>
      <c t="s" s="30" r="K1524">
        <v>205</v>
      </c>
      <c t="s" s="30" r="L1524">
        <v>141</v>
      </c>
      <c s="30" r="M1524">
        <v>22</v>
      </c>
      <c s="26" r="N1524">
        <v>3.8</v>
      </c>
      <c s="23" r="O1524">
        <v>0.01</v>
      </c>
      <c s="7" r="P1524"/>
      <c s="7" r="Q1524"/>
      <c s="7" r="R1524">
        <f>IF((P1524&gt;0),O1524,0)</f>
        <v>0</v>
      </c>
      <c t="str" r="S1524">
        <f>CONCATENATE(F1524,E1524)</f>
        <v>NON FTLNON FTL</v>
      </c>
    </row>
    <row r="1525">
      <c t="s" s="7" r="A1525">
        <v>201</v>
      </c>
      <c s="7" r="B1525">
        <v>1552</v>
      </c>
      <c s="30" r="C1525">
        <v>23</v>
      </c>
      <c t="s" s="30" r="D1525">
        <v>126</v>
      </c>
      <c t="s" s="30" r="E1525">
        <v>4</v>
      </c>
      <c t="s" s="30" r="F1525">
        <v>4</v>
      </c>
      <c t="s" s="30" r="G1525">
        <v>253</v>
      </c>
      <c t="str" s="12" r="H1525">
        <f>HYPERLINK("http://sofifa.com/en/fifa13winter/player/148441-adrien-s-perruchet-silva","Adrien")</f>
        <v>Adrien</v>
      </c>
      <c s="30" r="I1525">
        <v>76</v>
      </c>
      <c t="s" s="30" r="J1525">
        <v>124</v>
      </c>
      <c t="s" s="30" r="K1525">
        <v>139</v>
      </c>
      <c t="s" s="30" r="L1525">
        <v>160</v>
      </c>
      <c s="30" r="M1525">
        <v>23</v>
      </c>
      <c s="26" r="N1525">
        <v>5.1</v>
      </c>
      <c s="23" r="O1525">
        <v>0.014</v>
      </c>
      <c s="7" r="P1525"/>
      <c s="7" r="Q1525"/>
      <c s="7" r="R1525">
        <f>IF((P1525&gt;0),O1525,0)</f>
        <v>0</v>
      </c>
      <c t="str" r="S1525">
        <f>CONCATENATE(F1525,E1525)</f>
        <v>NON FTLNON FTL</v>
      </c>
    </row>
    <row r="1526">
      <c t="s" s="7" r="A1526">
        <v>201</v>
      </c>
      <c s="7" r="B1526">
        <v>1553</v>
      </c>
      <c s="30" r="C1526">
        <v>11</v>
      </c>
      <c t="s" s="30" r="D1526">
        <v>157</v>
      </c>
      <c t="s" s="30" r="E1526">
        <v>4</v>
      </c>
      <c t="s" s="30" r="F1526">
        <v>4</v>
      </c>
      <c t="s" s="30" r="G1526">
        <v>253</v>
      </c>
      <c t="str" s="12" r="H1526">
        <f>HYPERLINK("http://sofifa.com/en/fifa13winter/player/148048-diego-capel-trinidad","Diego Capel")</f>
        <v>Diego Capel</v>
      </c>
      <c s="30" r="I1526">
        <v>79</v>
      </c>
      <c t="s" s="30" r="J1526">
        <v>170</v>
      </c>
      <c t="s" s="30" r="K1526">
        <v>130</v>
      </c>
      <c t="s" s="30" r="L1526">
        <v>142</v>
      </c>
      <c s="30" r="M1526">
        <v>24</v>
      </c>
      <c s="26" r="N1526">
        <v>8.5</v>
      </c>
      <c s="23" r="O1526">
        <v>0.022</v>
      </c>
      <c s="7" r="P1526"/>
      <c s="7" r="Q1526"/>
      <c s="7" r="R1526">
        <f>IF((P1526&gt;0),O1526,0)</f>
        <v>0</v>
      </c>
      <c t="str" r="S1526">
        <f>CONCATENATE(F1526,E1526)</f>
        <v>NON FTLNON FTL</v>
      </c>
    </row>
    <row r="1527">
      <c t="s" s="7" r="A1527">
        <v>201</v>
      </c>
      <c s="7" r="B1527">
        <v>1554</v>
      </c>
      <c s="30" r="C1527">
        <v>9</v>
      </c>
      <c t="s" s="30" r="D1527">
        <v>129</v>
      </c>
      <c t="s" s="30" r="E1527">
        <v>4</v>
      </c>
      <c t="s" s="30" r="F1527">
        <v>4</v>
      </c>
      <c t="s" s="30" r="G1527">
        <v>253</v>
      </c>
      <c t="str" s="12" r="H1527">
        <f>HYPERLINK("http://sofifa.com/en/fifa13winter/player/148394-ricky-van-wolfswinkel","R. van Wolfswinkel")</f>
        <v>R. van Wolfswinkel</v>
      </c>
      <c s="30" r="I1527">
        <v>75</v>
      </c>
      <c t="s" s="30" r="J1527">
        <v>129</v>
      </c>
      <c t="s" s="30" r="K1527">
        <v>173</v>
      </c>
      <c t="s" s="30" r="L1527">
        <v>160</v>
      </c>
      <c s="30" r="M1527">
        <v>23</v>
      </c>
      <c s="26" r="N1527">
        <v>5.2</v>
      </c>
      <c s="23" r="O1527">
        <v>0.012</v>
      </c>
      <c s="7" r="P1527"/>
      <c s="7" r="Q1527"/>
      <c s="7" r="R1527">
        <f>IF((P1527&gt;0),O1527,0)</f>
        <v>0</v>
      </c>
      <c t="str" r="S1527">
        <f>CONCATENATE(F1527,E1527)</f>
        <v>NON FTLNON FTL</v>
      </c>
    </row>
    <row r="1528">
      <c t="s" s="7" r="A1528">
        <v>201</v>
      </c>
      <c s="7" r="B1528">
        <v>1555</v>
      </c>
      <c s="30" r="C1528">
        <v>51</v>
      </c>
      <c t="s" s="30" r="D1528">
        <v>170</v>
      </c>
      <c t="s" s="30" r="E1528">
        <v>4</v>
      </c>
      <c t="s" s="30" r="F1528">
        <v>4</v>
      </c>
      <c t="s" s="30" r="G1528">
        <v>253</v>
      </c>
      <c t="str" s="12" r="H1528">
        <f>HYPERLINK("http://sofifa.com/en/fifa13winter/player/150490-armindo-tue-na-bangna","Bruma")</f>
        <v>Bruma</v>
      </c>
      <c s="30" r="I1528">
        <v>71</v>
      </c>
      <c t="s" s="30" r="J1528">
        <v>157</v>
      </c>
      <c t="s" s="30" r="K1528">
        <v>130</v>
      </c>
      <c t="s" s="30" r="L1528">
        <v>122</v>
      </c>
      <c s="30" r="M1528">
        <v>17</v>
      </c>
      <c s="26" r="N1528">
        <v>3</v>
      </c>
      <c s="23" r="O1528">
        <v>0.006</v>
      </c>
      <c s="7" r="P1528"/>
      <c s="7" r="Q1528"/>
      <c s="7" r="R1528">
        <f>IF((P1528&gt;0),O1528,0)</f>
        <v>0</v>
      </c>
      <c t="str" r="S1528">
        <f>CONCATENATE(F1528,E1528)</f>
        <v>NON FTLNON FTL</v>
      </c>
    </row>
    <row r="1529">
      <c t="s" s="7" r="A1529">
        <v>201</v>
      </c>
      <c s="7" r="B1529">
        <v>1556</v>
      </c>
      <c s="30" r="C1529">
        <v>20</v>
      </c>
      <c t="s" s="30" r="D1529">
        <v>136</v>
      </c>
      <c t="s" s="30" r="E1529">
        <v>4</v>
      </c>
      <c t="s" s="30" r="F1529">
        <v>4</v>
      </c>
      <c t="s" s="30" r="G1529">
        <v>253</v>
      </c>
      <c t="str" s="12" r="H1529">
        <f>HYPERLINK("http://sofifa.com/en/fifa13winter/player/149896-zakaria-labyad","Z. Labyad")</f>
        <v>Z. Labyad</v>
      </c>
      <c s="30" r="I1529">
        <v>76</v>
      </c>
      <c t="s" s="30" r="J1529">
        <v>162</v>
      </c>
      <c t="s" s="30" r="K1529">
        <v>130</v>
      </c>
      <c t="s" s="30" r="L1529">
        <v>122</v>
      </c>
      <c s="30" r="M1529">
        <v>19</v>
      </c>
      <c s="26" r="N1529">
        <v>6.5</v>
      </c>
      <c s="23" r="O1529">
        <v>0.012</v>
      </c>
      <c s="7" r="P1529"/>
      <c s="7" r="Q1529"/>
      <c s="7" r="R1529">
        <f>IF((P1529&gt;0),O1529,0)</f>
        <v>0</v>
      </c>
      <c t="str" r="S1529">
        <f>CONCATENATE(F1529,E1529)</f>
        <v>NON FTLNON FTL</v>
      </c>
    </row>
    <row r="1530">
      <c t="s" s="7" r="A1530">
        <v>201</v>
      </c>
      <c s="7" r="B1530">
        <v>1557</v>
      </c>
      <c s="30" r="C1530">
        <v>8</v>
      </c>
      <c t="s" s="30" r="D1530">
        <v>136</v>
      </c>
      <c t="s" s="30" r="E1530">
        <v>4</v>
      </c>
      <c t="s" s="30" r="F1530">
        <v>4</v>
      </c>
      <c t="s" s="30" r="G1530">
        <v>253</v>
      </c>
      <c t="str" s="12" r="H1530">
        <f>HYPERLINK("http://sofifa.com/en/fifa13winter/player/146551-stijn-schaars","S. Schaars")</f>
        <v>S. Schaars</v>
      </c>
      <c s="30" r="I1530">
        <v>76</v>
      </c>
      <c t="s" s="30" r="J1530">
        <v>124</v>
      </c>
      <c t="s" s="30" r="K1530">
        <v>118</v>
      </c>
      <c t="s" s="30" r="L1530">
        <v>151</v>
      </c>
      <c s="30" r="M1530">
        <v>28</v>
      </c>
      <c s="26" r="N1530">
        <v>4.6</v>
      </c>
      <c s="23" r="O1530">
        <v>0.015</v>
      </c>
      <c s="7" r="P1530"/>
      <c s="7" r="Q1530"/>
      <c s="7" r="R1530">
        <f>IF((P1530&gt;0),O1530,0)</f>
        <v>0</v>
      </c>
      <c t="str" r="S1530">
        <f>CONCATENATE(F1530,E1530)</f>
        <v>NON FTLNON FTL</v>
      </c>
    </row>
    <row r="1531">
      <c t="s" s="7" r="A1531">
        <v>201</v>
      </c>
      <c s="7" r="B1531">
        <v>1558</v>
      </c>
      <c s="30" r="C1531">
        <v>12</v>
      </c>
      <c t="s" s="30" r="D1531">
        <v>136</v>
      </c>
      <c t="s" s="30" r="E1531">
        <v>4</v>
      </c>
      <c t="s" s="30" r="F1531">
        <v>4</v>
      </c>
      <c t="s" s="30" r="G1531">
        <v>253</v>
      </c>
      <c t="str" s="12" r="H1531">
        <f>HYPERLINK("http://sofifa.com/en/fifa13winter/player/146873-marcelo-boeck","Marcelo Boeck")</f>
        <v>Marcelo Boeck</v>
      </c>
      <c s="30" r="I1531">
        <v>74</v>
      </c>
      <c t="s" s="30" r="J1531">
        <v>106</v>
      </c>
      <c t="s" s="30" r="K1531">
        <v>152</v>
      </c>
      <c t="s" s="30" r="L1531">
        <v>178</v>
      </c>
      <c s="30" r="M1531">
        <v>27</v>
      </c>
      <c s="26" r="N1531">
        <v>2.7</v>
      </c>
      <c s="23" r="O1531">
        <v>0.011</v>
      </c>
      <c s="7" r="P1531"/>
      <c s="7" r="Q1531"/>
      <c s="7" r="R1531">
        <f>IF((P1531&gt;0),O1531,0)</f>
        <v>0</v>
      </c>
      <c t="str" r="S1531">
        <f>CONCATENATE(F1531,E1531)</f>
        <v>NON FTLNON FTL</v>
      </c>
    </row>
    <row r="1532">
      <c t="s" s="7" r="A1532">
        <v>201</v>
      </c>
      <c s="7" r="B1532">
        <v>1559</v>
      </c>
      <c s="30" r="C1532">
        <v>33</v>
      </c>
      <c t="s" s="30" r="D1532">
        <v>136</v>
      </c>
      <c t="s" s="30" r="E1532">
        <v>4</v>
      </c>
      <c t="s" s="30" r="F1532">
        <v>4</v>
      </c>
      <c t="s" s="30" r="G1532">
        <v>253</v>
      </c>
      <c t="str" s="12" r="H1532">
        <f>HYPERLINK("http://sofifa.com/en/fifa13winter/player/149963-diego-rubio","D. Rubio")</f>
        <v>D. Rubio</v>
      </c>
      <c s="30" r="I1532">
        <v>71</v>
      </c>
      <c t="s" s="30" r="J1532">
        <v>129</v>
      </c>
      <c t="s" s="30" r="K1532">
        <v>145</v>
      </c>
      <c t="s" s="30" r="L1532">
        <v>138</v>
      </c>
      <c s="30" r="M1532">
        <v>19</v>
      </c>
      <c s="26" r="N1532">
        <v>3</v>
      </c>
      <c s="23" r="O1532">
        <v>0.006</v>
      </c>
      <c s="7" r="P1532"/>
      <c s="7" r="Q1532"/>
      <c s="7" r="R1532">
        <f>IF((P1532&gt;0),O1532,0)</f>
        <v>0</v>
      </c>
      <c t="str" r="S1532">
        <f>CONCATENATE(F1532,E1532)</f>
        <v>NON FTLNON FTL</v>
      </c>
    </row>
    <row r="1533">
      <c t="s" s="7" r="A1533">
        <v>201</v>
      </c>
      <c s="7" r="B1533">
        <v>1560</v>
      </c>
      <c s="30" r="C1533">
        <v>87</v>
      </c>
      <c t="s" s="30" r="D1533">
        <v>136</v>
      </c>
      <c t="s" s="30" r="E1533">
        <v>4</v>
      </c>
      <c t="s" s="30" r="F1533">
        <v>4</v>
      </c>
      <c t="s" s="30" r="G1533">
        <v>253</v>
      </c>
      <c t="str" s="12" r="H1533">
        <f>HYPERLINK("http://sofifa.com/en/fifa13winter/player/150030-alberto-alves-coelho","Betinho")</f>
        <v>Betinho</v>
      </c>
      <c s="30" r="I1533">
        <v>67</v>
      </c>
      <c t="s" s="30" r="J1533">
        <v>129</v>
      </c>
      <c t="s" s="30" r="K1533">
        <v>145</v>
      </c>
      <c t="s" s="30" r="L1533">
        <v>146</v>
      </c>
      <c s="30" r="M1533">
        <v>19</v>
      </c>
      <c s="26" r="N1533">
        <v>1.9</v>
      </c>
      <c s="23" r="O1533">
        <v>0.004</v>
      </c>
      <c s="7" r="P1533"/>
      <c s="7" r="Q1533"/>
      <c s="7" r="R1533">
        <f>IF((P1533&gt;0),O1533,0)</f>
        <v>0</v>
      </c>
      <c t="str" r="S1533">
        <f>CONCATENATE(F1533,E1533)</f>
        <v>NON FTLNON FTL</v>
      </c>
    </row>
    <row r="1534">
      <c t="s" s="7" r="A1534">
        <v>201</v>
      </c>
      <c s="7" r="B1534">
        <v>1561</v>
      </c>
      <c s="30" r="C1534">
        <v>16</v>
      </c>
      <c t="s" s="30" r="D1534">
        <v>136</v>
      </c>
      <c t="s" s="30" r="E1534">
        <v>4</v>
      </c>
      <c t="s" s="30" r="F1534">
        <v>4</v>
      </c>
      <c t="s" s="30" r="G1534">
        <v>253</v>
      </c>
      <c t="str" s="12" r="H1534">
        <f>HYPERLINK("http://sofifa.com/en/fifa13winter/player/149337-valentin-viola","V. Viola")</f>
        <v>V. Viola</v>
      </c>
      <c s="30" r="I1534">
        <v>70</v>
      </c>
      <c t="s" s="30" r="J1534">
        <v>129</v>
      </c>
      <c t="s" s="30" r="K1534">
        <v>114</v>
      </c>
      <c t="s" s="30" r="L1534">
        <v>137</v>
      </c>
      <c s="30" r="M1534">
        <v>21</v>
      </c>
      <c s="26" r="N1534">
        <v>2.4</v>
      </c>
      <c s="23" r="O1534">
        <v>0.006</v>
      </c>
      <c s="7" r="P1534"/>
      <c s="7" r="Q1534"/>
      <c s="7" r="R1534">
        <f>IF((P1534&gt;0),O1534,0)</f>
        <v>0</v>
      </c>
      <c t="str" r="S1534">
        <f>CONCATENATE(F1534,E1534)</f>
        <v>NON FTLNON FTL</v>
      </c>
    </row>
    <row r="1535">
      <c t="s" s="7" r="A1535">
        <v>201</v>
      </c>
      <c s="7" r="B1535">
        <v>1562</v>
      </c>
      <c s="30" r="C1535">
        <v>18</v>
      </c>
      <c t="s" s="30" r="D1535">
        <v>136</v>
      </c>
      <c t="s" s="30" r="E1535">
        <v>4</v>
      </c>
      <c t="s" s="30" r="F1535">
        <v>4</v>
      </c>
      <c t="s" s="30" r="G1535">
        <v>253</v>
      </c>
      <c t="str" s="12" r="H1535">
        <f>HYPERLINK("http://sofifa.com/en/fifa13winter/player/149262-andre-carrillo","A. Carrillo")</f>
        <v>A. Carrillo</v>
      </c>
      <c s="30" r="I1535">
        <v>77</v>
      </c>
      <c t="s" s="30" r="J1535">
        <v>157</v>
      </c>
      <c t="s" s="30" r="K1535">
        <v>114</v>
      </c>
      <c t="s" s="30" r="L1535">
        <v>119</v>
      </c>
      <c s="30" r="M1535">
        <v>21</v>
      </c>
      <c s="26" r="N1535">
        <v>6.8</v>
      </c>
      <c s="23" r="O1535">
        <v>0.015</v>
      </c>
      <c s="7" r="P1535"/>
      <c s="7" r="Q1535"/>
      <c s="7" r="R1535">
        <f>IF((P1535&gt;0),O1535,0)</f>
        <v>0</v>
      </c>
      <c t="str" r="S1535">
        <f>CONCATENATE(F1535,E1535)</f>
        <v>NON FTLNON FTL</v>
      </c>
    </row>
    <row r="1536">
      <c t="s" s="7" r="A1536">
        <v>201</v>
      </c>
      <c s="7" r="B1536">
        <v>1563</v>
      </c>
      <c s="30" r="C1536">
        <v>47</v>
      </c>
      <c t="s" s="30" r="D1536">
        <v>136</v>
      </c>
      <c t="s" s="30" r="E1536">
        <v>4</v>
      </c>
      <c t="s" s="30" r="F1536">
        <v>4</v>
      </c>
      <c t="s" s="30" r="G1536">
        <v>253</v>
      </c>
      <c t="str" s="12" r="H1536">
        <f>HYPERLINK("http://sofifa.com/en/fifa13winter/player/149964-ricardo-sousa-esgaio","Ricardo Esgaio")</f>
        <v>Ricardo Esgaio</v>
      </c>
      <c s="30" r="I1536">
        <v>68</v>
      </c>
      <c t="s" s="30" r="J1536">
        <v>157</v>
      </c>
      <c t="s" s="30" r="K1536">
        <v>195</v>
      </c>
      <c t="s" s="30" r="L1536">
        <v>125</v>
      </c>
      <c s="30" r="M1536">
        <v>19</v>
      </c>
      <c s="26" r="N1536">
        <v>1.9</v>
      </c>
      <c s="23" r="O1536">
        <v>0.005</v>
      </c>
      <c s="7" r="P1536"/>
      <c s="7" r="Q1536"/>
      <c s="7" r="R1536">
        <f>IF((P1536&gt;0),O1536,0)</f>
        <v>0</v>
      </c>
      <c t="str" r="S1536">
        <f>CONCATENATE(F1536,E1536)</f>
        <v>NON FTLNON FTL</v>
      </c>
    </row>
    <row r="1537">
      <c t="s" s="7" r="A1537">
        <v>201</v>
      </c>
      <c s="7" r="B1537">
        <v>1564</v>
      </c>
      <c s="30" r="C1537">
        <v>7</v>
      </c>
      <c t="s" s="30" r="D1537">
        <v>136</v>
      </c>
      <c t="s" s="30" r="E1537">
        <v>4</v>
      </c>
      <c t="s" s="30" r="F1537">
        <v>4</v>
      </c>
      <c t="s" s="30" r="G1537">
        <v>253</v>
      </c>
      <c t="str" s="12" r="H1537">
        <f>HYPERLINK("http://sofifa.com/en/fifa13winter/player/148021-jeffren-isaias-suarez-bermudez","Jeffrén")</f>
        <v>Jeffrén</v>
      </c>
      <c s="30" r="I1537">
        <v>76</v>
      </c>
      <c t="s" s="30" r="J1537">
        <v>157</v>
      </c>
      <c t="s" s="30" r="K1537">
        <v>130</v>
      </c>
      <c t="s" s="30" r="L1537">
        <v>119</v>
      </c>
      <c s="30" r="M1537">
        <v>24</v>
      </c>
      <c s="26" r="N1537">
        <v>5.5</v>
      </c>
      <c s="23" r="O1537">
        <v>0.015</v>
      </c>
      <c s="7" r="P1537"/>
      <c s="7" r="Q1537"/>
      <c s="7" r="R1537">
        <f>IF((P1537&gt;0),O1537,0)</f>
        <v>0</v>
      </c>
      <c t="str" r="S1537">
        <f>CONCATENATE(F1537,E1537)</f>
        <v>NON FTLNON FTL</v>
      </c>
    </row>
    <row r="1538">
      <c t="s" s="7" r="A1538">
        <v>201</v>
      </c>
      <c s="7" r="B1538">
        <v>1565</v>
      </c>
      <c s="30" r="C1538">
        <v>41</v>
      </c>
      <c t="s" s="30" r="D1538">
        <v>136</v>
      </c>
      <c t="s" s="30" r="E1538">
        <v>4</v>
      </c>
      <c t="s" s="30" r="F1538">
        <v>4</v>
      </c>
      <c t="s" s="30" r="G1538">
        <v>253</v>
      </c>
      <c t="str" s="12" r="H1538">
        <f>HYPERLINK("http://sofifa.com/en/fifa13winter/player/149340-cedric-ricardo-alves-soares","Cédric")</f>
        <v>Cédric</v>
      </c>
      <c s="30" r="I1538">
        <v>71</v>
      </c>
      <c t="s" s="30" r="J1538">
        <v>109</v>
      </c>
      <c t="s" s="30" r="K1538">
        <v>187</v>
      </c>
      <c t="s" s="30" r="L1538">
        <v>163</v>
      </c>
      <c s="30" r="M1538">
        <v>21</v>
      </c>
      <c s="26" r="N1538">
        <v>2.3</v>
      </c>
      <c s="23" r="O1538">
        <v>0.007</v>
      </c>
      <c s="7" r="P1538"/>
      <c s="7" r="Q1538"/>
      <c s="7" r="R1538">
        <f>IF((P1538&gt;0),O1538,0)</f>
        <v>0</v>
      </c>
      <c t="str" r="S1538">
        <f>CONCATENATE(F1538,E1538)</f>
        <v>NON FTLNON FTL</v>
      </c>
    </row>
    <row r="1539">
      <c t="s" s="7" r="A1539">
        <v>201</v>
      </c>
      <c s="7" r="B1539">
        <v>1566</v>
      </c>
      <c s="30" r="C1539">
        <v>71</v>
      </c>
      <c t="s" s="30" r="D1539">
        <v>136</v>
      </c>
      <c t="s" s="30" r="E1539">
        <v>4</v>
      </c>
      <c t="s" s="30" r="F1539">
        <v>4</v>
      </c>
      <c t="s" s="30" r="G1539">
        <v>253</v>
      </c>
      <c t="str" s="12" r="H1539">
        <f>HYPERLINK("http://sofifa.com/en/fifa13winter/player/150218-fabrice-fokobo","F. Fokobo")</f>
        <v>F. Fokobo</v>
      </c>
      <c s="30" r="I1539">
        <v>64</v>
      </c>
      <c t="s" s="30" r="J1539">
        <v>113</v>
      </c>
      <c t="s" s="30" r="K1539">
        <v>143</v>
      </c>
      <c t="s" s="30" r="L1539">
        <v>146</v>
      </c>
      <c s="30" r="M1539">
        <v>18</v>
      </c>
      <c s="26" r="N1539">
        <v>1</v>
      </c>
      <c s="23" r="O1539">
        <v>0.003</v>
      </c>
      <c s="7" r="P1539"/>
      <c s="7" r="Q1539"/>
      <c s="7" r="R1539">
        <f>IF((P1539&gt;0),O1539,0)</f>
        <v>0</v>
      </c>
      <c t="str" r="S1539">
        <f>CONCATENATE(F1539,E1539)</f>
        <v>NON FTLNON FTL</v>
      </c>
    </row>
    <row r="1540">
      <c t="s" s="7" r="A1540">
        <v>201</v>
      </c>
      <c s="7" r="B1540">
        <v>1567</v>
      </c>
      <c s="30" r="C1540">
        <v>90</v>
      </c>
      <c t="s" s="30" r="D1540">
        <v>136</v>
      </c>
      <c t="s" s="30" r="E1540">
        <v>4</v>
      </c>
      <c t="s" s="30" r="F1540">
        <v>4</v>
      </c>
      <c t="s" s="30" r="G1540">
        <v>253</v>
      </c>
      <c t="str" s="12" r="H1540">
        <f>HYPERLINK("http://sofifa.com/en/fifa13winter/player/149729-jose-luis-mendes-lopes","Zézinho")</f>
        <v>Zézinho</v>
      </c>
      <c s="30" r="I1540">
        <v>69</v>
      </c>
      <c t="s" s="30" r="J1540">
        <v>154</v>
      </c>
      <c t="s" s="30" r="K1540">
        <v>172</v>
      </c>
      <c t="s" s="30" r="L1540">
        <v>119</v>
      </c>
      <c s="30" r="M1540">
        <v>19</v>
      </c>
      <c s="26" r="N1540">
        <v>1.9</v>
      </c>
      <c s="23" r="O1540">
        <v>0.005</v>
      </c>
      <c s="7" r="P1540"/>
      <c s="7" r="Q1540"/>
      <c s="7" r="R1540">
        <f>IF((P1540&gt;0),O1540,0)</f>
        <v>0</v>
      </c>
      <c t="str" r="S1540">
        <f>CONCATENATE(F1540,E1540)</f>
        <v>NON FTLNON FTL</v>
      </c>
    </row>
    <row r="1541">
      <c t="s" s="7" r="A1541">
        <v>201</v>
      </c>
      <c s="7" r="B1541">
        <v>1568</v>
      </c>
      <c s="30" r="C1541">
        <v>49</v>
      </c>
      <c t="s" s="30" r="D1541">
        <v>147</v>
      </c>
      <c t="s" s="30" r="E1541">
        <v>4</v>
      </c>
      <c t="s" s="30" r="F1541">
        <v>4</v>
      </c>
      <c t="s" s="30" r="G1541">
        <v>253</v>
      </c>
      <c t="str" s="12" r="H1541">
        <f>HYPERLINK("http://sofifa.com/en/fifa13winter/player/149847-joao-mario-ndc-eduardo","João Mário")</f>
        <v>João Mário</v>
      </c>
      <c s="30" r="I1541">
        <v>69</v>
      </c>
      <c t="s" s="30" r="J1541">
        <v>124</v>
      </c>
      <c t="s" s="30" r="K1541">
        <v>118</v>
      </c>
      <c t="s" s="30" r="L1541">
        <v>163</v>
      </c>
      <c s="30" r="M1541">
        <v>19</v>
      </c>
      <c s="26" r="N1541">
        <v>2</v>
      </c>
      <c s="23" r="O1541">
        <v>0.005</v>
      </c>
      <c s="7" r="P1541"/>
      <c s="7" r="Q1541"/>
      <c s="7" r="R1541">
        <f>IF((P1541&gt;0),O1541,0)</f>
        <v>0</v>
      </c>
      <c t="str" r="S1541">
        <f>CONCATENATE(F1541,E1541)</f>
        <v>NON FTLNON FTL</v>
      </c>
    </row>
    <row r="1542">
      <c t="s" s="7" r="A1542">
        <v>201</v>
      </c>
      <c s="7" r="B1542">
        <v>1569</v>
      </c>
      <c s="30" r="C1542">
        <v>19</v>
      </c>
      <c t="s" s="30" r="D1542">
        <v>147</v>
      </c>
      <c t="s" s="30" r="E1542">
        <v>4</v>
      </c>
      <c t="s" s="30" r="F1542">
        <v>4</v>
      </c>
      <c t="s" s="30" r="G1542">
        <v>253</v>
      </c>
      <c t="str" s="12" r="H1542">
        <f>HYPERLINK("http://sofifa.com/en/fifa13winter/player/149475-santiago-arias","S. Arias")</f>
        <v>S. Arias</v>
      </c>
      <c s="30" r="I1542">
        <v>69</v>
      </c>
      <c t="s" s="30" r="J1542">
        <v>109</v>
      </c>
      <c t="s" s="30" r="K1542">
        <v>172</v>
      </c>
      <c t="s" s="30" r="L1542">
        <v>115</v>
      </c>
      <c s="30" r="M1542">
        <v>20</v>
      </c>
      <c s="26" r="N1542">
        <v>1.8</v>
      </c>
      <c s="23" r="O1542">
        <v>0.005</v>
      </c>
      <c s="7" r="P1542"/>
      <c s="7" r="Q1542"/>
      <c s="7" r="R1542">
        <f>IF((P1542&gt;0),O1542,0)</f>
        <v>0</v>
      </c>
      <c t="str" r="S1542">
        <f>CONCATENATE(F1542,E1542)</f>
        <v>NON FTLNON FTL</v>
      </c>
    </row>
    <row r="1543">
      <c t="s" s="7" r="A1543">
        <v>201</v>
      </c>
      <c s="7" r="B1543">
        <v>1570</v>
      </c>
      <c s="30" r="C1543">
        <v>54</v>
      </c>
      <c t="s" s="30" r="D1543">
        <v>147</v>
      </c>
      <c t="s" s="30" r="E1543">
        <v>4</v>
      </c>
      <c t="s" s="30" r="F1543">
        <v>4</v>
      </c>
      <c t="s" s="30" r="G1543">
        <v>253</v>
      </c>
      <c t="str" s="12" r="H1543">
        <f>HYPERLINK("http://sofifa.com/en/fifa13winter/player/150208-eric-dier","E. Dier")</f>
        <v>E. Dier</v>
      </c>
      <c s="30" r="I1543">
        <v>70</v>
      </c>
      <c t="s" s="30" r="J1543">
        <v>154</v>
      </c>
      <c t="s" s="30" r="K1543">
        <v>134</v>
      </c>
      <c t="s" s="30" r="L1543">
        <v>168</v>
      </c>
      <c s="30" r="M1543">
        <v>18</v>
      </c>
      <c s="26" r="N1543">
        <v>2</v>
      </c>
      <c s="23" r="O1543">
        <v>0.005</v>
      </c>
      <c s="7" r="P1543"/>
      <c s="7" r="Q1543"/>
      <c s="7" r="R1543">
        <f>IF((P1543&gt;0),O1543,0)</f>
        <v>0</v>
      </c>
      <c t="str" r="S1543">
        <f>CONCATENATE(F1543,E1543)</f>
        <v>NON FTLNON FTL</v>
      </c>
    </row>
    <row r="1544">
      <c t="s" s="7" r="A1544">
        <v>201</v>
      </c>
      <c s="7" r="B1544">
        <v>1571</v>
      </c>
      <c s="30" r="C1544">
        <v>6</v>
      </c>
      <c t="s" s="30" r="D1544">
        <v>147</v>
      </c>
      <c t="s" s="30" r="E1544">
        <v>4</v>
      </c>
      <c t="s" s="30" r="F1544">
        <v>4</v>
      </c>
      <c t="s" s="30" r="G1544">
        <v>253</v>
      </c>
      <c t="str" s="12" r="H1544">
        <f>HYPERLINK("http://sofifa.com/en/fifa13winter/player/145807-khalid-boulahrouz","K. Boulahrouz")</f>
        <v>K. Boulahrouz</v>
      </c>
      <c s="30" r="I1544">
        <v>75</v>
      </c>
      <c t="s" s="30" r="J1544">
        <v>113</v>
      </c>
      <c t="s" s="30" r="K1544">
        <v>110</v>
      </c>
      <c t="s" s="30" r="L1544">
        <v>153</v>
      </c>
      <c s="30" r="M1544">
        <v>30</v>
      </c>
      <c s="26" r="N1544">
        <v>3.5</v>
      </c>
      <c s="23" r="O1544">
        <v>0.014</v>
      </c>
      <c s="7" r="P1544"/>
      <c s="7" r="Q1544"/>
      <c s="7" r="R1544">
        <f>IF((P1544&gt;0),O1544,0)</f>
        <v>0</v>
      </c>
      <c t="str" r="S1544">
        <f>CONCATENATE(F1544,E1544)</f>
        <v>NON FTLNON FTL</v>
      </c>
    </row>
    <row r="1545">
      <c t="s" s="7" r="A1545">
        <v>201</v>
      </c>
      <c s="7" r="B1545">
        <v>1572</v>
      </c>
      <c s="30" r="C1545">
        <v>99</v>
      </c>
      <c t="s" s="30" r="D1545">
        <v>147</v>
      </c>
      <c t="s" s="30" r="E1545">
        <v>4</v>
      </c>
      <c t="s" s="30" r="F1545">
        <v>4</v>
      </c>
      <c t="s" s="30" r="G1545">
        <v>253</v>
      </c>
      <c t="str" s="12" r="H1545">
        <f>HYPERLINK("http://sofifa.com/en/fifa13winter/player/150014-gael-etock","G. Etock")</f>
        <v>G. Etock</v>
      </c>
      <c s="30" r="I1545">
        <v>64</v>
      </c>
      <c t="s" s="30" r="J1545">
        <v>129</v>
      </c>
      <c t="s" s="30" r="K1545">
        <v>167</v>
      </c>
      <c t="s" s="30" r="L1545">
        <v>138</v>
      </c>
      <c s="30" r="M1545">
        <v>19</v>
      </c>
      <c s="26" r="N1545">
        <v>1.2</v>
      </c>
      <c s="23" r="O1545">
        <v>0.004</v>
      </c>
      <c s="7" r="P1545"/>
      <c s="7" r="Q1545"/>
      <c s="7" r="R1545">
        <f>IF((P1545&gt;0),O1545,0)</f>
        <v>0</v>
      </c>
      <c t="str" r="S1545">
        <f>CONCATENATE(F1545,E1545)</f>
        <v>NON FTLNON FTL</v>
      </c>
    </row>
    <row r="1546">
      <c t="s" s="7" r="A1546">
        <v>201</v>
      </c>
      <c s="7" r="B1546">
        <v>1573</v>
      </c>
      <c s="30" r="C1546">
        <v>22</v>
      </c>
      <c t="s" s="30" r="D1546">
        <v>147</v>
      </c>
      <c t="s" s="30" r="E1546">
        <v>4</v>
      </c>
      <c t="s" s="30" r="F1546">
        <v>4</v>
      </c>
      <c t="s" s="30" r="G1546">
        <v>253</v>
      </c>
      <c t="str" s="12" r="H1546">
        <f>HYPERLINK("http://sofifa.com/en/fifa13winter/player/148015-hugo-ventura-moura-guedes","Hugo Ventura")</f>
        <v>Hugo Ventura</v>
      </c>
      <c s="30" r="I1546">
        <v>68</v>
      </c>
      <c t="s" s="30" r="J1546">
        <v>106</v>
      </c>
      <c t="s" s="30" r="K1546">
        <v>167</v>
      </c>
      <c t="s" s="30" r="L1546">
        <v>158</v>
      </c>
      <c s="30" r="M1546">
        <v>24</v>
      </c>
      <c s="26" r="N1546">
        <v>1.3</v>
      </c>
      <c s="23" r="O1546">
        <v>0.006</v>
      </c>
      <c s="7" r="P1546"/>
      <c s="7" r="Q1546"/>
      <c s="7" r="R1546">
        <f>IF((P1546&gt;0),O1546,0)</f>
        <v>0</v>
      </c>
      <c t="str" r="S1546">
        <f>CONCATENATE(F1546,E1546)</f>
        <v>NON FTLNON FTL</v>
      </c>
    </row>
    <row r="1547">
      <c t="s" s="7" r="A1547">
        <v>201</v>
      </c>
      <c s="7" r="B1547">
        <v>1574</v>
      </c>
      <c s="30" r="C1547">
        <v>60</v>
      </c>
      <c t="s" s="30" r="D1547">
        <v>147</v>
      </c>
      <c t="s" s="30" r="E1547">
        <v>4</v>
      </c>
      <c t="s" s="30" r="F1547">
        <v>4</v>
      </c>
      <c t="s" s="30" r="G1547">
        <v>253</v>
      </c>
      <c t="str" s="12" r="H1547">
        <f>HYPERLINK("http://sofifa.com/en/fifa13winter/player/148544-nii-plange","N. Plange")</f>
        <v>N. Plange</v>
      </c>
      <c s="30" r="I1547">
        <v>64</v>
      </c>
      <c t="s" s="30" r="J1547">
        <v>162</v>
      </c>
      <c t="s" s="30" r="K1547">
        <v>139</v>
      </c>
      <c t="s" s="30" r="L1547">
        <v>122</v>
      </c>
      <c s="30" r="M1547">
        <v>23</v>
      </c>
      <c s="26" r="N1547">
        <v>1</v>
      </c>
      <c s="23" r="O1547">
        <v>0.004</v>
      </c>
      <c s="7" r="P1547"/>
      <c s="7" r="Q1547"/>
      <c s="7" r="R1547">
        <f>IF((P1547&gt;0),O1547,0)</f>
        <v>0</v>
      </c>
      <c t="str" r="S1547">
        <f>CONCATENATE(F1547,E1547)</f>
        <v>NON FTLNON FTL</v>
      </c>
    </row>
    <row r="1548">
      <c t="s" s="7" r="A1548">
        <v>201</v>
      </c>
      <c s="7" r="B1548">
        <v>1575</v>
      </c>
      <c s="30" r="C1548">
        <v>16</v>
      </c>
      <c t="s" s="30" r="D1548">
        <v>106</v>
      </c>
      <c t="s" s="30" r="E1548">
        <v>4</v>
      </c>
      <c t="s" s="30" r="F1548">
        <v>4</v>
      </c>
      <c t="s" s="30" r="G1548">
        <v>254</v>
      </c>
      <c t="str" s="12" r="H1548">
        <f>HYPERLINK("http://sofifa.com/en/fifa13winter/player/147541-stephane-ruffier","S. Ruffier")</f>
        <v>S. Ruffier</v>
      </c>
      <c s="30" r="I1548">
        <v>82</v>
      </c>
      <c t="s" s="30" r="J1548">
        <v>106</v>
      </c>
      <c t="s" s="30" r="K1548">
        <v>134</v>
      </c>
      <c t="s" s="30" r="L1548">
        <v>178</v>
      </c>
      <c s="30" r="M1548">
        <v>25</v>
      </c>
      <c s="26" r="N1548">
        <v>11.3</v>
      </c>
      <c s="23" r="O1548">
        <v>0.053</v>
      </c>
      <c s="7" r="P1548"/>
      <c s="7" r="Q1548"/>
      <c s="7" r="R1548">
        <f>IF((P1548&gt;0),O1548,0)</f>
        <v>0</v>
      </c>
      <c t="str" r="S1548">
        <f>CONCATENATE(F1548,E1548)</f>
        <v>NON FTLNON FTL</v>
      </c>
    </row>
    <row r="1549">
      <c t="s" s="7" r="A1549">
        <v>201</v>
      </c>
      <c s="7" r="B1549">
        <v>1576</v>
      </c>
      <c s="30" r="C1549">
        <v>29</v>
      </c>
      <c t="s" s="30" r="D1549">
        <v>109</v>
      </c>
      <c t="s" s="30" r="E1549">
        <v>4</v>
      </c>
      <c t="s" s="30" r="F1549">
        <v>4</v>
      </c>
      <c t="s" s="30" r="G1549">
        <v>254</v>
      </c>
      <c t="str" s="12" r="H1549">
        <f>HYPERLINK("http://sofifa.com/en/fifa13winter/player/146283-francois-clerc","F. Clerc")</f>
        <v>F. Clerc</v>
      </c>
      <c s="30" r="I1549">
        <v>74</v>
      </c>
      <c t="s" s="30" r="J1549">
        <v>109</v>
      </c>
      <c t="s" s="30" r="K1549">
        <v>155</v>
      </c>
      <c t="s" s="30" r="L1549">
        <v>183</v>
      </c>
      <c s="30" r="M1549">
        <v>29</v>
      </c>
      <c s="26" r="N1549">
        <v>2.8</v>
      </c>
      <c s="23" r="O1549">
        <v>0.012</v>
      </c>
      <c s="7" r="P1549"/>
      <c s="7" r="Q1549"/>
      <c s="7" r="R1549">
        <f>IF((P1549&gt;0),O1549,0)</f>
        <v>0</v>
      </c>
      <c t="str" r="S1549">
        <f>CONCATENATE(F1549,E1549)</f>
        <v>NON FTLNON FTL</v>
      </c>
    </row>
    <row r="1550">
      <c t="s" s="7" r="A1550">
        <v>201</v>
      </c>
      <c s="7" r="B1550">
        <v>1577</v>
      </c>
      <c s="30" r="C1550">
        <v>26</v>
      </c>
      <c t="s" s="30" r="D1550">
        <v>112</v>
      </c>
      <c t="s" s="30" r="E1550">
        <v>4</v>
      </c>
      <c t="s" s="30" r="F1550">
        <v>4</v>
      </c>
      <c t="s" s="30" r="G1550">
        <v>254</v>
      </c>
      <c t="str" s="12" r="H1550">
        <f>HYPERLINK("http://sofifa.com/en/fifa13winter/player/147240-moustapha-sall","M. Sall")</f>
        <v>M. Sall</v>
      </c>
      <c s="30" r="I1550">
        <v>73</v>
      </c>
      <c t="s" s="30" r="J1550">
        <v>113</v>
      </c>
      <c t="s" s="30" r="K1550">
        <v>165</v>
      </c>
      <c t="s" s="30" r="L1550">
        <v>184</v>
      </c>
      <c s="30" r="M1550">
        <v>26</v>
      </c>
      <c s="26" r="N1550">
        <v>3.2</v>
      </c>
      <c s="23" r="O1550">
        <v>0.01</v>
      </c>
      <c s="7" r="P1550"/>
      <c s="7" r="Q1550"/>
      <c s="7" r="R1550">
        <f>IF((P1550&gt;0),O1550,0)</f>
        <v>0</v>
      </c>
      <c t="str" r="S1550">
        <f>CONCATENATE(F1550,E1550)</f>
        <v>NON FTLNON FTL</v>
      </c>
    </row>
    <row r="1551">
      <c t="s" s="7" r="A1551">
        <v>201</v>
      </c>
      <c s="7" r="B1551">
        <v>1578</v>
      </c>
      <c s="30" r="C1551">
        <v>24</v>
      </c>
      <c t="s" s="30" r="D1551">
        <v>116</v>
      </c>
      <c t="s" s="30" r="E1551">
        <v>4</v>
      </c>
      <c t="s" s="30" r="F1551">
        <v>4</v>
      </c>
      <c t="s" s="30" r="G1551">
        <v>254</v>
      </c>
      <c t="str" s="12" r="H1551">
        <f>HYPERLINK("http://sofifa.com/en/fifa13winter/player/147125-loic-perrin","L. Perrin")</f>
        <v>L. Perrin</v>
      </c>
      <c s="30" r="I1551">
        <v>77</v>
      </c>
      <c t="s" s="30" r="J1551">
        <v>113</v>
      </c>
      <c t="s" s="30" r="K1551">
        <v>150</v>
      </c>
      <c t="s" s="30" r="L1551">
        <v>183</v>
      </c>
      <c s="30" r="M1551">
        <v>27</v>
      </c>
      <c s="26" r="N1551">
        <v>5.5</v>
      </c>
      <c s="23" r="O1551">
        <v>0.017</v>
      </c>
      <c s="7" r="P1551"/>
      <c s="7" r="Q1551"/>
      <c s="7" r="R1551">
        <f>IF((P1551&gt;0),O1551,0)</f>
        <v>0</v>
      </c>
      <c t="str" r="S1551">
        <f>CONCATENATE(F1551,E1551)</f>
        <v>NON FTLNON FTL</v>
      </c>
    </row>
    <row r="1552">
      <c t="s" s="7" r="A1552">
        <v>201</v>
      </c>
      <c s="7" r="B1552">
        <v>1579</v>
      </c>
      <c s="30" r="C1552">
        <v>20</v>
      </c>
      <c t="s" s="30" r="D1552">
        <v>117</v>
      </c>
      <c t="s" s="30" r="E1552">
        <v>4</v>
      </c>
      <c t="s" s="30" r="F1552">
        <v>4</v>
      </c>
      <c t="s" s="30" r="G1552">
        <v>254</v>
      </c>
      <c t="str" s="12" r="H1552">
        <f>HYPERLINK("http://sofifa.com/en/fifa13winter/player/146213-jonathan-brison","J. Brison")</f>
        <v>J. Brison</v>
      </c>
      <c s="30" r="I1552">
        <v>71</v>
      </c>
      <c t="s" s="30" r="J1552">
        <v>117</v>
      </c>
      <c t="s" s="30" r="K1552">
        <v>145</v>
      </c>
      <c t="s" s="30" r="L1552">
        <v>146</v>
      </c>
      <c s="30" r="M1552">
        <v>29</v>
      </c>
      <c s="26" r="N1552">
        <v>1.9</v>
      </c>
      <c s="23" r="O1552">
        <v>0.008</v>
      </c>
      <c s="7" r="P1552"/>
      <c s="7" r="Q1552"/>
      <c s="7" r="R1552">
        <f>IF((P1552&gt;0),O1552,0)</f>
        <v>0</v>
      </c>
      <c t="str" r="S1552">
        <f>CONCATENATE(F1552,E1552)</f>
        <v>NON FTLNON FTL</v>
      </c>
    </row>
    <row r="1553">
      <c t="s" s="7" r="A1553">
        <v>201</v>
      </c>
      <c s="7" r="B1553">
        <v>1580</v>
      </c>
      <c s="30" r="C1553">
        <v>19</v>
      </c>
      <c t="s" s="30" r="D1553">
        <v>154</v>
      </c>
      <c t="s" s="30" r="E1553">
        <v>4</v>
      </c>
      <c t="s" s="30" r="F1553">
        <v>4</v>
      </c>
      <c t="s" s="30" r="G1553">
        <v>254</v>
      </c>
      <c t="str" s="12" r="H1553">
        <f>HYPERLINK("http://sofifa.com/en/fifa13winter/player/148994-josuha-guilavogui","J. Guilavogui")</f>
        <v>J. Guilavogui</v>
      </c>
      <c s="30" r="I1553">
        <v>73</v>
      </c>
      <c t="s" s="30" r="J1553">
        <v>124</v>
      </c>
      <c t="s" s="30" r="K1553">
        <v>134</v>
      </c>
      <c t="s" s="30" r="L1553">
        <v>193</v>
      </c>
      <c s="30" r="M1553">
        <v>21</v>
      </c>
      <c s="26" r="N1553">
        <v>3.2</v>
      </c>
      <c s="23" r="O1553">
        <v>0.009</v>
      </c>
      <c s="7" r="P1553"/>
      <c s="7" r="Q1553"/>
      <c s="7" r="R1553">
        <f>IF((P1553&gt;0),O1553,0)</f>
        <v>0</v>
      </c>
      <c t="str" r="S1553">
        <f>CONCATENATE(F1553,E1553)</f>
        <v>NON FTLNON FTL</v>
      </c>
    </row>
    <row r="1554">
      <c t="s" s="7" r="A1554">
        <v>201</v>
      </c>
      <c s="7" r="B1554">
        <v>1581</v>
      </c>
      <c s="30" r="C1554">
        <v>18</v>
      </c>
      <c t="s" s="30" r="D1554">
        <v>123</v>
      </c>
      <c t="s" s="30" r="E1554">
        <v>4</v>
      </c>
      <c t="s" s="30" r="F1554">
        <v>4</v>
      </c>
      <c t="s" s="30" r="G1554">
        <v>254</v>
      </c>
      <c t="str" s="12" r="H1554">
        <f>HYPERLINK("http://sofifa.com/en/fifa13winter/player/147711-fabien-lemoine","F. Lemoine")</f>
        <v>F. Lemoine</v>
      </c>
      <c s="30" r="I1554">
        <v>73</v>
      </c>
      <c t="s" s="30" r="J1554">
        <v>124</v>
      </c>
      <c t="s" s="30" r="K1554">
        <v>139</v>
      </c>
      <c t="s" s="30" r="L1554">
        <v>111</v>
      </c>
      <c s="30" r="M1554">
        <v>25</v>
      </c>
      <c s="26" r="N1554">
        <v>3</v>
      </c>
      <c s="23" r="O1554">
        <v>0.01</v>
      </c>
      <c s="7" r="P1554"/>
      <c s="7" r="Q1554"/>
      <c s="7" r="R1554">
        <f>IF((P1554&gt;0),O1554,0)</f>
        <v>0</v>
      </c>
      <c t="str" r="S1554">
        <f>CONCATENATE(F1554,E1554)</f>
        <v>NON FTLNON FTL</v>
      </c>
    </row>
    <row r="1555">
      <c t="s" s="7" r="A1555">
        <v>201</v>
      </c>
      <c s="7" r="B1555">
        <v>1582</v>
      </c>
      <c s="30" r="C1555">
        <v>10</v>
      </c>
      <c t="s" s="30" r="D1555">
        <v>126</v>
      </c>
      <c t="s" s="30" r="E1555">
        <v>4</v>
      </c>
      <c t="s" s="30" r="F1555">
        <v>4</v>
      </c>
      <c t="s" s="30" r="G1555">
        <v>254</v>
      </c>
      <c t="str" s="12" r="H1555">
        <f>HYPERLINK("http://sofifa.com/en/fifa13winter/player/146813-renaud-cohade","R. Cohade")</f>
        <v>R. Cohade</v>
      </c>
      <c s="30" r="I1555">
        <v>75</v>
      </c>
      <c t="s" s="30" r="J1555">
        <v>124</v>
      </c>
      <c t="s" s="30" r="K1555">
        <v>143</v>
      </c>
      <c t="s" s="30" r="L1555">
        <v>137</v>
      </c>
      <c s="30" r="M1555">
        <v>27</v>
      </c>
      <c s="26" r="N1555">
        <v>4</v>
      </c>
      <c s="23" r="O1555">
        <v>0.013</v>
      </c>
      <c s="7" r="P1555"/>
      <c s="7" r="Q1555"/>
      <c s="7" r="R1555">
        <f>IF((P1555&gt;0),O1555,0)</f>
        <v>0</v>
      </c>
      <c t="str" r="S1555">
        <f>CONCATENATE(F1555,E1555)</f>
        <v>NON FTLNON FTL</v>
      </c>
    </row>
    <row r="1556">
      <c t="s" s="7" r="A1556">
        <v>201</v>
      </c>
      <c s="7" r="B1556">
        <v>1583</v>
      </c>
      <c s="30" r="C1556">
        <v>7</v>
      </c>
      <c t="s" s="30" r="D1556">
        <v>157</v>
      </c>
      <c t="s" s="30" r="E1556">
        <v>4</v>
      </c>
      <c t="s" s="30" r="F1556">
        <v>4</v>
      </c>
      <c t="s" s="30" r="G1556">
        <v>254</v>
      </c>
      <c t="str" s="12" r="H1556">
        <f>HYPERLINK("http://sofifa.com/en/fifa13winter/player/148536-pierre-emerick-aubameyang","P. Aubameyang")</f>
        <v>P. Aubameyang</v>
      </c>
      <c s="30" r="I1556">
        <v>80</v>
      </c>
      <c t="s" s="30" r="J1556">
        <v>129</v>
      </c>
      <c t="s" s="30" r="K1556">
        <v>155</v>
      </c>
      <c t="s" s="30" r="L1556">
        <v>138</v>
      </c>
      <c s="30" r="M1556">
        <v>23</v>
      </c>
      <c s="26" r="N1556">
        <v>13.3</v>
      </c>
      <c s="23" r="O1556">
        <v>0.029</v>
      </c>
      <c s="7" r="P1556"/>
      <c s="7" r="Q1556"/>
      <c s="7" r="R1556">
        <f>IF((P1556&gt;0),O1556,0)</f>
        <v>0</v>
      </c>
      <c t="str" r="S1556">
        <f>CONCATENATE(F1556,E1556)</f>
        <v>NON FTLNON FTL</v>
      </c>
    </row>
    <row r="1557">
      <c t="s" s="7" r="A1557">
        <v>201</v>
      </c>
      <c s="7" r="B1557">
        <v>1584</v>
      </c>
      <c s="30" r="C1557">
        <v>14</v>
      </c>
      <c t="s" s="30" r="D1557">
        <v>129</v>
      </c>
      <c t="s" s="30" r="E1557">
        <v>4</v>
      </c>
      <c t="s" s="30" r="F1557">
        <v>4</v>
      </c>
      <c t="s" s="30" r="G1557">
        <v>254</v>
      </c>
      <c t="str" s="12" r="H1557">
        <f>HYPERLINK("http://sofifa.com/en/fifa13winter/player/145247-evaeverson-lemos-da-silva","Brandão")</f>
        <v>Brandão</v>
      </c>
      <c s="30" r="I1557">
        <v>74</v>
      </c>
      <c t="s" s="30" r="J1557">
        <v>129</v>
      </c>
      <c t="s" s="30" r="K1557">
        <v>169</v>
      </c>
      <c t="s" s="30" r="L1557">
        <v>161</v>
      </c>
      <c s="30" r="M1557">
        <v>32</v>
      </c>
      <c s="26" r="N1557">
        <v>3</v>
      </c>
      <c s="23" r="O1557">
        <v>0.013</v>
      </c>
      <c s="7" r="P1557"/>
      <c s="7" r="Q1557"/>
      <c s="7" r="R1557">
        <f>IF((P1557&gt;0),O1557,0)</f>
        <v>0</v>
      </c>
      <c t="str" r="S1557">
        <f>CONCATENATE(F1557,E1557)</f>
        <v>NON FTLNON FTL</v>
      </c>
    </row>
    <row r="1558">
      <c t="s" s="7" r="A1558">
        <v>201</v>
      </c>
      <c s="7" r="B1558">
        <v>1585</v>
      </c>
      <c s="30" r="C1558">
        <v>9</v>
      </c>
      <c t="s" s="30" r="D1558">
        <v>170</v>
      </c>
      <c t="s" s="30" r="E1558">
        <v>4</v>
      </c>
      <c t="s" s="30" r="F1558">
        <v>4</v>
      </c>
      <c t="s" s="30" r="G1558">
        <v>254</v>
      </c>
      <c t="str" s="12" r="H1558">
        <f>HYPERLINK("http://sofifa.com/en/fifa13winter/player/147970-max-alain-gradel","M. Gradel")</f>
        <v>M. Gradel</v>
      </c>
      <c s="30" r="I1558">
        <v>72</v>
      </c>
      <c t="s" s="30" r="J1558">
        <v>128</v>
      </c>
      <c t="s" s="30" r="K1558">
        <v>139</v>
      </c>
      <c t="s" s="30" r="L1558">
        <v>160</v>
      </c>
      <c s="30" r="M1558">
        <v>24</v>
      </c>
      <c s="26" r="N1558">
        <v>3</v>
      </c>
      <c s="23" r="O1558">
        <v>0.009</v>
      </c>
      <c s="7" r="P1558"/>
      <c s="7" r="Q1558"/>
      <c s="7" r="R1558">
        <f>IF((P1558&gt;0),O1558,0)</f>
        <v>0</v>
      </c>
      <c t="str" r="S1558">
        <f>CONCATENATE(F1558,E1558)</f>
        <v>NON FTLNON FTL</v>
      </c>
    </row>
    <row r="1559">
      <c t="s" s="7" r="A1559">
        <v>201</v>
      </c>
      <c s="7" r="B1559">
        <v>1586</v>
      </c>
      <c s="30" r="C1559">
        <v>28</v>
      </c>
      <c t="s" s="30" r="D1559">
        <v>136</v>
      </c>
      <c t="s" s="30" r="E1559">
        <v>4</v>
      </c>
      <c t="s" s="30" r="F1559">
        <v>4</v>
      </c>
      <c t="s" s="30" r="G1559">
        <v>254</v>
      </c>
      <c t="str" s="12" r="H1559">
        <f>HYPERLINK("http://sofifa.com/en/fifa13winter/player/149703-ismael-diomande","I. Diomandé")</f>
        <v>I. Diomandé</v>
      </c>
      <c s="30" r="I1559">
        <v>61</v>
      </c>
      <c t="s" s="30" r="J1559">
        <v>154</v>
      </c>
      <c t="s" s="30" r="K1559">
        <v>143</v>
      </c>
      <c t="s" s="30" r="L1559">
        <v>153</v>
      </c>
      <c s="30" r="M1559">
        <v>20</v>
      </c>
      <c s="26" r="N1559">
        <v>0.6</v>
      </c>
      <c s="23" r="O1559">
        <v>0.003</v>
      </c>
      <c s="7" r="P1559"/>
      <c s="7" r="Q1559"/>
      <c s="7" r="R1559">
        <f>IF((P1559&gt;0),O1559,0)</f>
        <v>0</v>
      </c>
      <c t="str" r="S1559">
        <f>CONCATENATE(F1559,E1559)</f>
        <v>NON FTLNON FTL</v>
      </c>
    </row>
    <row r="1560">
      <c t="s" s="7" r="A1560">
        <v>201</v>
      </c>
      <c s="7" r="B1560">
        <v>1587</v>
      </c>
      <c s="30" r="C1560">
        <v>21</v>
      </c>
      <c t="s" s="30" r="D1560">
        <v>136</v>
      </c>
      <c t="s" s="30" r="E1560">
        <v>4</v>
      </c>
      <c t="s" s="30" r="F1560">
        <v>4</v>
      </c>
      <c t="s" s="30" r="G1560">
        <v>254</v>
      </c>
      <c t="str" s="12" r="H1560">
        <f>HYPERLINK("http://sofifa.com/en/fifa13winter/player/147724-romain-hamouma","R. Hamouma")</f>
        <v>R. Hamouma</v>
      </c>
      <c s="30" r="I1560">
        <v>77</v>
      </c>
      <c t="s" s="30" r="J1560">
        <v>157</v>
      </c>
      <c t="s" s="30" r="K1560">
        <v>159</v>
      </c>
      <c t="s" s="30" r="L1560">
        <v>146</v>
      </c>
      <c s="30" r="M1560">
        <v>25</v>
      </c>
      <c s="26" r="N1560">
        <v>6.3</v>
      </c>
      <c s="23" r="O1560">
        <v>0.017</v>
      </c>
      <c s="7" r="P1560"/>
      <c s="7" r="Q1560"/>
      <c s="7" r="R1560">
        <f>IF((P1560&gt;0),O1560,0)</f>
        <v>0</v>
      </c>
      <c t="str" r="S1560">
        <f>CONCATENATE(F1560,E1560)</f>
        <v>NON FTLNON FTL</v>
      </c>
    </row>
    <row r="1561">
      <c t="s" s="7" r="A1561">
        <v>201</v>
      </c>
      <c s="7" r="B1561">
        <v>1588</v>
      </c>
      <c s="30" r="C1561">
        <v>4</v>
      </c>
      <c t="s" s="30" r="D1561">
        <v>136</v>
      </c>
      <c t="s" s="30" r="E1561">
        <v>4</v>
      </c>
      <c t="s" s="30" r="F1561">
        <v>4</v>
      </c>
      <c t="s" s="30" r="G1561">
        <v>254</v>
      </c>
      <c t="str" s="12" r="H1561">
        <f>HYPERLINK("http://sofifa.com/en/fifa13winter/player/150493-kurt-zouma","K. Zouma")</f>
        <v>K. Zouma</v>
      </c>
      <c s="30" r="I1561">
        <v>73</v>
      </c>
      <c t="s" s="30" r="J1561">
        <v>113</v>
      </c>
      <c t="s" s="30" r="K1561">
        <v>152</v>
      </c>
      <c t="s" s="30" r="L1561">
        <v>192</v>
      </c>
      <c s="30" r="M1561">
        <v>17</v>
      </c>
      <c s="26" r="N1561">
        <v>3.5</v>
      </c>
      <c s="23" r="O1561">
        <v>0.007</v>
      </c>
      <c s="7" r="P1561"/>
      <c s="7" r="Q1561"/>
      <c s="7" r="R1561">
        <f>IF((P1561&gt;0),O1561,0)</f>
        <v>0</v>
      </c>
      <c t="str" r="S1561">
        <f>CONCATENATE(F1561,E1561)</f>
        <v>NON FTLNON FTL</v>
      </c>
    </row>
    <row r="1562">
      <c t="s" s="7" r="A1562">
        <v>201</v>
      </c>
      <c s="7" r="B1562">
        <v>1589</v>
      </c>
      <c s="30" r="C1562">
        <v>15</v>
      </c>
      <c t="s" s="30" r="D1562">
        <v>136</v>
      </c>
      <c t="s" s="30" r="E1562">
        <v>4</v>
      </c>
      <c t="s" s="30" r="F1562">
        <v>4</v>
      </c>
      <c t="s" s="30" r="G1562">
        <v>254</v>
      </c>
      <c t="str" s="12" r="H1562">
        <f>HYPERLINK("http://sofifa.com/en/fifa13winter/player/149046-andreas-laudrup","A. Laudrup")</f>
        <v>A. Laudrup</v>
      </c>
      <c s="30" r="I1562">
        <v>68</v>
      </c>
      <c t="s" s="30" r="J1562">
        <v>170</v>
      </c>
      <c t="s" s="30" r="K1562">
        <v>139</v>
      </c>
      <c t="s" s="30" r="L1562">
        <v>140</v>
      </c>
      <c s="30" r="M1562">
        <v>21</v>
      </c>
      <c s="26" r="N1562">
        <v>1.9</v>
      </c>
      <c s="23" r="O1562">
        <v>0.005</v>
      </c>
      <c s="7" r="P1562"/>
      <c s="7" r="Q1562"/>
      <c s="7" r="R1562">
        <f>IF((P1562&gt;0),O1562,0)</f>
        <v>0</v>
      </c>
      <c t="str" r="S1562">
        <f>CONCATENATE(F1562,E1562)</f>
        <v>NON FTLNON FTL</v>
      </c>
    </row>
    <row r="1563">
      <c t="s" s="7" r="A1563">
        <v>201</v>
      </c>
      <c s="7" r="B1563">
        <v>1590</v>
      </c>
      <c s="30" r="C1563">
        <v>13</v>
      </c>
      <c t="s" s="30" r="D1563">
        <v>136</v>
      </c>
      <c t="s" s="30" r="E1563">
        <v>4</v>
      </c>
      <c t="s" s="30" r="F1563">
        <v>4</v>
      </c>
      <c t="s" s="30" r="G1563">
        <v>254</v>
      </c>
      <c t="str" s="12" r="H1563">
        <f>HYPERLINK("http://sofifa.com/en/fifa13winter/player/149129-faouzi-ghoulam","F. Ghoulam")</f>
        <v>F. Ghoulam</v>
      </c>
      <c s="30" r="I1563">
        <v>72</v>
      </c>
      <c t="s" s="30" r="J1563">
        <v>117</v>
      </c>
      <c t="s" s="30" r="K1563">
        <v>132</v>
      </c>
      <c t="s" s="30" r="L1563">
        <v>158</v>
      </c>
      <c s="30" r="M1563">
        <v>21</v>
      </c>
      <c s="26" r="N1563">
        <v>2.7</v>
      </c>
      <c s="23" r="O1563">
        <v>0.008</v>
      </c>
      <c s="7" r="P1563"/>
      <c s="7" r="Q1563"/>
      <c s="7" r="R1563">
        <f>IF((P1563&gt;0),O1563,0)</f>
        <v>0</v>
      </c>
      <c t="str" r="S1563">
        <f>CONCATENATE(F1563,E1563)</f>
        <v>NON FTLNON FTL</v>
      </c>
    </row>
    <row r="1564">
      <c t="s" s="7" r="A1564">
        <v>201</v>
      </c>
      <c s="7" r="B1564">
        <v>1591</v>
      </c>
      <c s="30" r="C1564">
        <v>22</v>
      </c>
      <c t="s" s="30" r="D1564">
        <v>136</v>
      </c>
      <c t="s" s="30" r="E1564">
        <v>4</v>
      </c>
      <c t="s" s="30" r="F1564">
        <v>4</v>
      </c>
      <c t="s" s="30" r="G1564">
        <v>254</v>
      </c>
      <c t="str" s="12" r="H1564">
        <f>HYPERLINK("http://sofifa.com/en/fifa13winter/player/149217-danijel-aleksic","D. Aleksić")</f>
        <v>D. Aleksić</v>
      </c>
      <c s="30" r="I1564">
        <v>63</v>
      </c>
      <c t="s" s="30" r="J1564">
        <v>129</v>
      </c>
      <c t="s" s="30" r="K1564">
        <v>143</v>
      </c>
      <c t="s" s="30" r="L1564">
        <v>151</v>
      </c>
      <c s="30" r="M1564">
        <v>21</v>
      </c>
      <c s="26" r="N1564">
        <v>1</v>
      </c>
      <c s="23" r="O1564">
        <v>0.004</v>
      </c>
      <c s="7" r="P1564"/>
      <c s="7" r="Q1564"/>
      <c s="7" r="R1564">
        <f>IF((P1564&gt;0),O1564,0)</f>
        <v>0</v>
      </c>
      <c t="str" r="S1564">
        <f>CONCATENATE(F1564,E1564)</f>
        <v>NON FTLNON FTL</v>
      </c>
    </row>
    <row r="1565">
      <c t="s" s="7" r="A1565">
        <v>201</v>
      </c>
      <c s="7" r="B1565">
        <v>1592</v>
      </c>
      <c s="30" r="C1565">
        <v>27</v>
      </c>
      <c t="s" s="30" r="D1565">
        <v>136</v>
      </c>
      <c t="s" s="30" r="E1565">
        <v>4</v>
      </c>
      <c t="s" s="30" r="F1565">
        <v>4</v>
      </c>
      <c t="s" s="30" r="G1565">
        <v>254</v>
      </c>
      <c t="str" s="12" r="H1565">
        <f>HYPERLINK("http://sofifa.com/en/fifa13winter/player/146136-mathieu-bodmer","M. Bodmer")</f>
        <v>M. Bodmer</v>
      </c>
      <c s="30" r="I1565">
        <v>75</v>
      </c>
      <c t="s" s="30" r="J1565">
        <v>124</v>
      </c>
      <c t="s" s="30" r="K1565">
        <v>152</v>
      </c>
      <c t="s" s="30" r="L1565">
        <v>178</v>
      </c>
      <c s="30" r="M1565">
        <v>29</v>
      </c>
      <c s="26" r="N1565">
        <v>4</v>
      </c>
      <c s="23" r="O1565">
        <v>0.014</v>
      </c>
      <c s="7" r="P1565"/>
      <c s="7" r="Q1565"/>
      <c s="7" r="R1565">
        <f>IF((P1565&gt;0),O1565,0)</f>
        <v>0</v>
      </c>
      <c t="str" r="S1565">
        <f>CONCATENATE(F1565,E1565)</f>
        <v>NON FTLNON FTL</v>
      </c>
    </row>
    <row r="1566">
      <c t="s" s="7" r="A1566">
        <v>201</v>
      </c>
      <c s="7" r="B1566">
        <v>1593</v>
      </c>
      <c s="30" r="C1566">
        <v>30</v>
      </c>
      <c t="s" s="30" r="D1566">
        <v>136</v>
      </c>
      <c t="s" s="30" r="E1566">
        <v>4</v>
      </c>
      <c t="s" s="30" r="F1566">
        <v>4</v>
      </c>
      <c t="s" s="30" r="G1566">
        <v>254</v>
      </c>
      <c t="str" s="12" r="H1566">
        <f>HYPERLINK("http://sofifa.com/en/fifa13winter/player/147284-jessy-moulin","J. Moulin")</f>
        <v>J. Moulin</v>
      </c>
      <c s="30" r="I1566">
        <v>63</v>
      </c>
      <c t="s" s="30" r="J1566">
        <v>106</v>
      </c>
      <c t="s" s="30" r="K1566">
        <v>132</v>
      </c>
      <c t="s" s="30" r="L1566">
        <v>180</v>
      </c>
      <c s="30" r="M1566">
        <v>26</v>
      </c>
      <c s="26" r="N1566">
        <v>0.6</v>
      </c>
      <c s="23" r="O1566">
        <v>0.004</v>
      </c>
      <c s="7" r="P1566"/>
      <c s="7" r="Q1566"/>
      <c s="7" r="R1566">
        <f>IF((P1566&gt;0),O1566,0)</f>
        <v>0</v>
      </c>
      <c t="str" r="S1566">
        <f>CONCATENATE(F1566,E1566)</f>
        <v>NON FTLNON FTL</v>
      </c>
    </row>
    <row r="1567">
      <c t="s" s="7" r="A1567">
        <v>201</v>
      </c>
      <c s="7" r="B1567">
        <v>1594</v>
      </c>
      <c s="30" r="C1567">
        <v>25</v>
      </c>
      <c t="s" s="30" r="D1567">
        <v>136</v>
      </c>
      <c t="s" s="30" r="E1567">
        <v>4</v>
      </c>
      <c t="s" s="30" r="F1567">
        <v>4</v>
      </c>
      <c t="s" s="30" r="G1567">
        <v>254</v>
      </c>
      <c t="str" s="12" r="H1567">
        <f>HYPERLINK("http://sofifa.com/en/fifa13winter/player/146913-banel-nicolita","B. Nicoliţă")</f>
        <v>B. Nicoliţă</v>
      </c>
      <c s="30" r="I1567">
        <v>70</v>
      </c>
      <c t="s" s="30" r="J1567">
        <v>120</v>
      </c>
      <c t="s" s="30" r="K1567">
        <v>118</v>
      </c>
      <c t="s" s="30" r="L1567">
        <v>142</v>
      </c>
      <c s="30" r="M1567">
        <v>27</v>
      </c>
      <c s="26" r="N1567">
        <v>1.9</v>
      </c>
      <c s="23" r="O1567">
        <v>0.007</v>
      </c>
      <c s="7" r="P1567"/>
      <c s="7" r="Q1567"/>
      <c s="7" r="R1567">
        <f>IF((P1567&gt;0),O1567,0)</f>
        <v>0</v>
      </c>
      <c t="str" r="S1567">
        <f>CONCATENATE(F1567,E1567)</f>
        <v>NON FTLNON FTL</v>
      </c>
    </row>
    <row r="1568">
      <c t="s" s="7" r="A1568">
        <v>201</v>
      </c>
      <c s="7" r="B1568">
        <v>1595</v>
      </c>
      <c s="30" r="C1568">
        <v>6</v>
      </c>
      <c t="s" s="30" r="D1568">
        <v>136</v>
      </c>
      <c t="s" s="30" r="E1568">
        <v>4</v>
      </c>
      <c t="s" s="30" r="F1568">
        <v>4</v>
      </c>
      <c t="s" s="30" r="G1568">
        <v>254</v>
      </c>
      <c t="str" s="12" r="H1568">
        <f>HYPERLINK("http://sofifa.com/en/fifa13winter/player/146779-jeremy-clement","J. Clément")</f>
        <v>J. Clément</v>
      </c>
      <c s="30" r="I1568">
        <v>77</v>
      </c>
      <c t="s" s="30" r="J1568">
        <v>154</v>
      </c>
      <c t="s" s="30" r="K1568">
        <v>114</v>
      </c>
      <c t="s" s="30" r="L1568">
        <v>137</v>
      </c>
      <c s="30" r="M1568">
        <v>28</v>
      </c>
      <c s="26" r="N1568">
        <v>5</v>
      </c>
      <c s="23" r="O1568">
        <v>0.017</v>
      </c>
      <c s="7" r="P1568"/>
      <c s="7" r="Q1568"/>
      <c s="7" r="R1568">
        <f>IF((P1568&gt;0),O1568,0)</f>
        <v>0</v>
      </c>
      <c t="str" r="S1568">
        <f>CONCATENATE(F1568,E1568)</f>
        <v>NON FTLNON FTL</v>
      </c>
    </row>
    <row r="1569">
      <c t="s" s="7" r="A1569">
        <v>201</v>
      </c>
      <c s="7" r="B1569">
        <v>1596</v>
      </c>
      <c s="30" r="C1569">
        <v>12</v>
      </c>
      <c t="s" s="30" r="D1569">
        <v>136</v>
      </c>
      <c t="s" s="30" r="E1569">
        <v>4</v>
      </c>
      <c t="s" s="30" r="F1569">
        <v>4</v>
      </c>
      <c t="s" s="30" r="G1569">
        <v>254</v>
      </c>
      <c t="str" s="12" r="H1569">
        <f>HYPERLINK("http://sofifa.com/en/fifa13winter/player/145502-jean-pascal-mignot","J. Mignot")</f>
        <v>J. Mignot</v>
      </c>
      <c s="30" r="I1569">
        <v>73</v>
      </c>
      <c t="s" s="30" r="J1569">
        <v>113</v>
      </c>
      <c t="s" s="30" r="K1569">
        <v>167</v>
      </c>
      <c t="s" s="30" r="L1569">
        <v>193</v>
      </c>
      <c s="30" r="M1569">
        <v>31</v>
      </c>
      <c s="26" r="N1569">
        <v>2.4</v>
      </c>
      <c s="23" r="O1569">
        <v>0.011</v>
      </c>
      <c s="7" r="P1569"/>
      <c s="7" r="Q1569"/>
      <c s="7" r="R1569">
        <f>IF((P1569&gt;0),O1569,0)</f>
        <v>0</v>
      </c>
      <c t="str" r="S1569">
        <f>CONCATENATE(F1569,E1569)</f>
        <v>NON FTLNON FTL</v>
      </c>
    </row>
    <row r="1570">
      <c t="s" s="7" r="A1570">
        <v>201</v>
      </c>
      <c s="7" r="B1570">
        <v>1597</v>
      </c>
      <c s="30" r="C1570">
        <v>17</v>
      </c>
      <c t="s" s="30" r="D1570">
        <v>136</v>
      </c>
      <c t="s" s="30" r="E1570">
        <v>4</v>
      </c>
      <c t="s" s="30" r="F1570">
        <v>4</v>
      </c>
      <c t="s" s="30" r="G1570">
        <v>254</v>
      </c>
      <c t="str" s="12" r="H1570">
        <f>HYPERLINK("http://sofifa.com/en/fifa13winter/player/149842-kevin-mayi","K. Mayi")</f>
        <v>K. Mayi</v>
      </c>
      <c s="30" r="I1570">
        <v>63</v>
      </c>
      <c t="s" s="30" r="J1570">
        <v>129</v>
      </c>
      <c t="s" s="30" r="K1570">
        <v>150</v>
      </c>
      <c t="s" s="30" r="L1570">
        <v>183</v>
      </c>
      <c s="30" r="M1570">
        <v>19</v>
      </c>
      <c s="26" r="N1570">
        <v>1.1</v>
      </c>
      <c s="23" r="O1570">
        <v>0.003</v>
      </c>
      <c s="7" r="P1570"/>
      <c s="7" r="Q1570"/>
      <c s="7" r="R1570">
        <f>IF((P1570&gt;0),O1570,0)</f>
        <v>0</v>
      </c>
      <c t="str" r="S1570">
        <f>CONCATENATE(F1570,E1570)</f>
        <v>NON FTLNON FTL</v>
      </c>
    </row>
    <row r="1571">
      <c t="s" s="7" r="A1571">
        <v>201</v>
      </c>
      <c s="7" r="B1571">
        <v>1598</v>
      </c>
      <c s="30" r="C1571">
        <v>35</v>
      </c>
      <c t="s" s="30" r="D1571">
        <v>147</v>
      </c>
      <c t="s" s="30" r="E1571">
        <v>4</v>
      </c>
      <c t="s" s="30" r="F1571">
        <v>4</v>
      </c>
      <c t="s" s="30" r="G1571">
        <v>254</v>
      </c>
      <c t="str" s="12" r="H1571">
        <f>HYPERLINK("http://sofifa.com/en/fifa13winter/player/149524-ebrima-bojang","E. Bojang")</f>
        <v>E. Bojang</v>
      </c>
      <c s="30" r="I1571">
        <v>57</v>
      </c>
      <c t="s" s="30" r="J1571">
        <v>129</v>
      </c>
      <c t="s" s="30" r="K1571">
        <v>188</v>
      </c>
      <c t="s" s="30" r="L1571">
        <v>192</v>
      </c>
      <c s="30" r="M1571">
        <v>20</v>
      </c>
      <c s="26" r="N1571">
        <v>0.3</v>
      </c>
      <c s="23" r="O1571">
        <v>0.002</v>
      </c>
      <c s="7" r="P1571"/>
      <c s="7" r="Q1571"/>
      <c s="7" r="R1571">
        <f>IF((P1571&gt;0),O1571,0)</f>
        <v>0</v>
      </c>
      <c t="str" r="S1571">
        <f>CONCATENATE(F1571,E1571)</f>
        <v>NON FTLNON FTL</v>
      </c>
    </row>
    <row r="1572">
      <c t="s" s="7" r="A1572">
        <v>201</v>
      </c>
      <c s="7" r="B1572">
        <v>1599</v>
      </c>
      <c s="30" r="C1572">
        <v>31</v>
      </c>
      <c t="s" s="30" r="D1572">
        <v>147</v>
      </c>
      <c t="s" s="30" r="E1572">
        <v>4</v>
      </c>
      <c t="s" s="30" r="F1572">
        <v>4</v>
      </c>
      <c t="s" s="30" r="G1572">
        <v>254</v>
      </c>
      <c t="str" s="12" r="H1572">
        <f>HYPERLINK("http://sofifa.com/en/fifa13winter/player/150189-pierre-yves-polomat","P. Polomat")</f>
        <v>P. Polomat</v>
      </c>
      <c s="30" r="I1572">
        <v>63</v>
      </c>
      <c t="s" s="30" r="J1572">
        <v>117</v>
      </c>
      <c t="s" s="30" r="K1572">
        <v>114</v>
      </c>
      <c t="s" s="30" r="L1572">
        <v>151</v>
      </c>
      <c s="30" r="M1572">
        <v>18</v>
      </c>
      <c s="26" r="N1572">
        <v>0.8</v>
      </c>
      <c s="23" r="O1572">
        <v>0.003</v>
      </c>
      <c s="7" r="P1572"/>
      <c s="7" r="Q1572"/>
      <c s="7" r="R1572">
        <f>IF((P1572&gt;0),O1572,0)</f>
        <v>0</v>
      </c>
      <c t="str" r="S1572">
        <f>CONCATENATE(F1572,E1572)</f>
        <v>NON FTLNON FTL</v>
      </c>
    </row>
    <row r="1573">
      <c t="s" s="7" r="A1573">
        <v>201</v>
      </c>
      <c s="7" r="B1573">
        <v>1600</v>
      </c>
      <c s="30" r="C1573">
        <v>33</v>
      </c>
      <c t="s" s="30" r="D1573">
        <v>147</v>
      </c>
      <c t="s" s="30" r="E1573">
        <v>4</v>
      </c>
      <c t="s" s="30" r="F1573">
        <v>4</v>
      </c>
      <c t="s" s="30" r="G1573">
        <v>254</v>
      </c>
      <c t="str" s="12" r="H1573">
        <f>HYPERLINK("http://sofifa.com/en/fifa13winter/player/150206-eirik-birkelund","E. Birkelund")</f>
        <v>E. Birkelund</v>
      </c>
      <c s="30" r="I1573">
        <v>58</v>
      </c>
      <c t="s" s="30" r="J1573">
        <v>162</v>
      </c>
      <c t="s" s="30" r="K1573">
        <v>114</v>
      </c>
      <c t="s" s="30" r="L1573">
        <v>183</v>
      </c>
      <c s="30" r="M1573">
        <v>18</v>
      </c>
      <c s="26" r="N1573">
        <v>0.4</v>
      </c>
      <c s="23" r="O1573">
        <v>0.002</v>
      </c>
      <c s="7" r="P1573"/>
      <c s="7" r="Q1573"/>
      <c s="7" r="R1573">
        <f>IF((P1573&gt;0),O1573,0)</f>
        <v>0</v>
      </c>
      <c t="str" r="S1573">
        <f>CONCATENATE(F1573,E1573)</f>
        <v>NON FTLNON FTL</v>
      </c>
    </row>
    <row r="1574">
      <c t="s" s="7" r="A1574">
        <v>201</v>
      </c>
      <c s="7" r="B1574">
        <v>1601</v>
      </c>
      <c s="30" r="C1574">
        <v>40</v>
      </c>
      <c t="s" s="30" r="D1574">
        <v>147</v>
      </c>
      <c t="s" s="30" r="E1574">
        <v>4</v>
      </c>
      <c t="s" s="30" r="F1574">
        <v>4</v>
      </c>
      <c t="s" s="30" r="G1574">
        <v>254</v>
      </c>
      <c t="str" s="12" r="H1574">
        <f>HYPERLINK("http://sofifa.com/en/fifa13winter/player/148063-pape-abdoulaye-coulibaly","P. Coulibaly")</f>
        <v>P. Coulibaly</v>
      </c>
      <c s="30" r="I1574">
        <v>63</v>
      </c>
      <c t="s" s="30" r="J1574">
        <v>106</v>
      </c>
      <c t="s" s="30" r="K1574">
        <v>188</v>
      </c>
      <c t="s" s="30" r="L1574">
        <v>135</v>
      </c>
      <c s="30" r="M1574">
        <v>24</v>
      </c>
      <c s="26" r="N1574">
        <v>0.7</v>
      </c>
      <c s="23" r="O1574">
        <v>0.004</v>
      </c>
      <c s="7" r="P1574"/>
      <c s="7" r="Q1574"/>
      <c s="7" r="R1574">
        <f>IF((P1574&gt;0),O1574,0)</f>
        <v>0</v>
      </c>
      <c t="str" r="S1574">
        <f>CONCATENATE(F1574,E1574)</f>
        <v>NON FTLNON FTL</v>
      </c>
    </row>
    <row r="1575">
      <c t="s" s="7" r="A1575">
        <v>201</v>
      </c>
      <c s="7" r="B1575">
        <v>1602</v>
      </c>
      <c s="30" r="C1575">
        <v>38</v>
      </c>
      <c t="s" s="30" r="D1575">
        <v>147</v>
      </c>
      <c t="s" s="30" r="E1575">
        <v>4</v>
      </c>
      <c t="s" s="30" r="F1575">
        <v>4</v>
      </c>
      <c t="s" s="30" r="G1575">
        <v>254</v>
      </c>
      <c t="str" s="12" r="H1575">
        <f>HYPERLINK("http://sofifa.com/en/fifa13winter/player/149934-kamel-chergui","K. Chergui")</f>
        <v>K. Chergui</v>
      </c>
      <c s="30" r="I1575">
        <v>59</v>
      </c>
      <c t="s" s="30" r="J1575">
        <v>162</v>
      </c>
      <c t="s" s="30" r="K1575">
        <v>130</v>
      </c>
      <c t="s" s="30" r="L1575">
        <v>149</v>
      </c>
      <c s="30" r="M1575">
        <v>19</v>
      </c>
      <c s="26" r="N1575">
        <v>0.5</v>
      </c>
      <c s="23" r="O1575">
        <v>0.002</v>
      </c>
      <c s="7" r="P1575"/>
      <c s="7" r="Q1575"/>
      <c s="7" r="R1575">
        <f>IF((P1575&gt;0),O1575,0)</f>
        <v>0</v>
      </c>
      <c t="str" r="S1575">
        <f>CONCATENATE(F1575,E1575)</f>
        <v>NON FTLNON FTL</v>
      </c>
    </row>
    <row r="1576">
      <c t="s" s="7" r="A1576">
        <v>201</v>
      </c>
      <c s="7" r="B1576">
        <v>1603</v>
      </c>
      <c s="30" r="C1576">
        <v>1</v>
      </c>
      <c t="s" s="30" r="D1576">
        <v>106</v>
      </c>
      <c t="s" s="30" r="E1576">
        <v>4</v>
      </c>
      <c t="s" s="30" r="F1576">
        <v>4</v>
      </c>
      <c t="s" s="30" r="G1576">
        <v>255</v>
      </c>
      <c t="str" s="12" r="H1576">
        <f>HYPERLINK("http://sofifa.com/en/fifa13winter/player/146841-danijel-subasic","D. Subašić")</f>
        <v>D. Subašić</v>
      </c>
      <c s="30" r="I1576">
        <v>71</v>
      </c>
      <c t="s" s="30" r="J1576">
        <v>106</v>
      </c>
      <c t="s" s="30" r="K1576">
        <v>144</v>
      </c>
      <c t="s" s="30" r="L1576">
        <v>156</v>
      </c>
      <c s="30" r="M1576">
        <v>27</v>
      </c>
      <c s="26" r="N1576">
        <v>1.8</v>
      </c>
      <c s="23" r="O1576">
        <v>0.008</v>
      </c>
      <c s="7" r="P1576"/>
      <c s="7" r="Q1576"/>
      <c s="7" r="R1576">
        <f>IF((P1576&gt;0),O1576,0)</f>
        <v>0</v>
      </c>
      <c t="str" r="S1576">
        <f>CONCATENATE(F1576,E1576)</f>
        <v>NON FTLNON FTL</v>
      </c>
    </row>
    <row r="1577">
      <c t="s" s="7" r="A1577">
        <v>201</v>
      </c>
      <c s="7" r="B1577">
        <v>1604</v>
      </c>
      <c s="30" r="C1577">
        <v>21</v>
      </c>
      <c t="s" s="30" r="D1577">
        <v>109</v>
      </c>
      <c t="s" s="30" r="E1577">
        <v>4</v>
      </c>
      <c t="s" s="30" r="F1577">
        <v>4</v>
      </c>
      <c t="s" s="30" r="G1577">
        <v>255</v>
      </c>
      <c t="str" s="12" r="H1577">
        <f>HYPERLINK("http://sofifa.com/en/fifa13winter/player/148113-gary-kagelmacher","G. Kagelmacher")</f>
        <v>G. Kagelmacher</v>
      </c>
      <c s="30" r="I1577">
        <v>66</v>
      </c>
      <c t="s" s="30" r="J1577">
        <v>109</v>
      </c>
      <c t="s" s="30" r="K1577">
        <v>110</v>
      </c>
      <c t="s" s="30" r="L1577">
        <v>158</v>
      </c>
      <c s="30" r="M1577">
        <v>24</v>
      </c>
      <c s="26" r="N1577">
        <v>1.1</v>
      </c>
      <c s="23" r="O1577">
        <v>0.005</v>
      </c>
      <c s="7" r="P1577"/>
      <c s="7" r="Q1577"/>
      <c s="7" r="R1577">
        <f>IF((P1577&gt;0),O1577,0)</f>
        <v>0</v>
      </c>
      <c t="str" r="S1577">
        <f>CONCATENATE(F1577,E1577)</f>
        <v>NON FTLNON FTL</v>
      </c>
    </row>
    <row r="1578">
      <c t="s" s="7" r="A1578">
        <v>201</v>
      </c>
      <c s="7" r="B1578">
        <v>1605</v>
      </c>
      <c s="30" r="C1578">
        <v>4</v>
      </c>
      <c t="s" s="30" r="D1578">
        <v>112</v>
      </c>
      <c t="s" s="30" r="E1578">
        <v>4</v>
      </c>
      <c t="s" s="30" r="F1578">
        <v>4</v>
      </c>
      <c t="s" s="30" r="G1578">
        <v>255</v>
      </c>
      <c t="str" s="12" r="H1578">
        <f>HYPERLINK("http://sofifa.com/en/fifa13winter/player/147041-carl-medjani","C. Medjani")</f>
        <v>C. Medjani</v>
      </c>
      <c s="30" r="I1578">
        <v>68</v>
      </c>
      <c t="s" s="30" r="J1578">
        <v>113</v>
      </c>
      <c t="s" s="30" r="K1578">
        <v>110</v>
      </c>
      <c t="s" s="30" r="L1578">
        <v>138</v>
      </c>
      <c s="30" r="M1578">
        <v>27</v>
      </c>
      <c s="26" r="N1578">
        <v>1.5</v>
      </c>
      <c s="23" r="O1578">
        <v>0.006</v>
      </c>
      <c s="7" r="P1578"/>
      <c s="7" r="Q1578"/>
      <c s="7" r="R1578">
        <f>IF((P1578&gt;0),O1578,0)</f>
        <v>0</v>
      </c>
      <c t="str" r="S1578">
        <f>CONCATENATE(F1578,E1578)</f>
        <v>NON FTLNON FTL</v>
      </c>
    </row>
    <row r="1579">
      <c t="s" s="7" r="A1579">
        <v>201</v>
      </c>
      <c s="7" r="B1579">
        <v>1606</v>
      </c>
      <c s="30" r="C1579">
        <v>24</v>
      </c>
      <c t="s" s="30" r="D1579">
        <v>116</v>
      </c>
      <c t="s" s="30" r="E1579">
        <v>4</v>
      </c>
      <c t="s" s="30" r="F1579">
        <v>4</v>
      </c>
      <c t="s" s="30" r="G1579">
        <v>255</v>
      </c>
      <c t="str" s="12" r="H1579">
        <f>HYPERLINK("http://sofifa.com/en/fifa13winter/player/146716-andrea-raggi","A. Raggi")</f>
        <v>A. Raggi</v>
      </c>
      <c s="30" r="I1579">
        <v>72</v>
      </c>
      <c t="s" s="30" r="J1579">
        <v>113</v>
      </c>
      <c t="s" s="30" r="K1579">
        <v>155</v>
      </c>
      <c t="s" s="30" r="L1579">
        <v>142</v>
      </c>
      <c s="30" r="M1579">
        <v>28</v>
      </c>
      <c s="26" r="N1579">
        <v>2.4</v>
      </c>
      <c s="23" r="O1579">
        <v>0.009</v>
      </c>
      <c s="7" r="P1579"/>
      <c s="7" r="Q1579"/>
      <c s="7" r="R1579">
        <f>IF((P1579&gt;0),O1579,0)</f>
        <v>0</v>
      </c>
      <c t="str" r="S1579">
        <f>CONCATENATE(F1579,E1579)</f>
        <v>NON FTLNON FTL</v>
      </c>
    </row>
    <row r="1580">
      <c t="s" s="7" r="A1580">
        <v>201</v>
      </c>
      <c s="7" r="B1580">
        <v>1607</v>
      </c>
      <c s="30" r="C1580">
        <v>22</v>
      </c>
      <c t="s" s="30" r="D1580">
        <v>117</v>
      </c>
      <c t="s" s="30" r="E1580">
        <v>4</v>
      </c>
      <c t="s" s="30" r="F1580">
        <v>4</v>
      </c>
      <c t="s" s="30" r="G1580">
        <v>255</v>
      </c>
      <c t="str" s="12" r="H1580">
        <f>HYPERLINK("http://sofifa.com/en/fifa13winter/player/147966-georgios-tzavellas","G. Tzavellas")</f>
        <v>G. Tzavellas</v>
      </c>
      <c s="30" r="I1580">
        <v>72</v>
      </c>
      <c t="s" s="30" r="J1580">
        <v>117</v>
      </c>
      <c t="s" s="30" r="K1580">
        <v>110</v>
      </c>
      <c t="s" s="30" r="L1580">
        <v>183</v>
      </c>
      <c s="30" r="M1580">
        <v>24</v>
      </c>
      <c s="26" r="N1580">
        <v>2.5</v>
      </c>
      <c s="23" r="O1580">
        <v>0.009</v>
      </c>
      <c s="7" r="P1580"/>
      <c s="7" r="Q1580"/>
      <c s="7" r="R1580">
        <f>IF((P1580&gt;0),O1580,0)</f>
        <v>0</v>
      </c>
      <c t="str" r="S1580">
        <f>CONCATENATE(F1580,E1580)</f>
        <v>NON FTLNON FTL</v>
      </c>
    </row>
    <row r="1581">
      <c t="s" s="7" r="A1581">
        <v>201</v>
      </c>
      <c s="7" r="B1581">
        <v>1608</v>
      </c>
      <c s="30" r="C1581">
        <v>23</v>
      </c>
      <c t="s" s="30" r="D1581">
        <v>186</v>
      </c>
      <c t="s" s="30" r="E1581">
        <v>4</v>
      </c>
      <c t="s" s="30" r="F1581">
        <v>4</v>
      </c>
      <c t="s" s="30" r="G1581">
        <v>255</v>
      </c>
      <c t="str" s="12" r="H1581">
        <f>HYPERLINK("http://sofifa.com/en/fifa13winter/player/149637-nampalys-mendy","N. Mendy")</f>
        <v>N. Mendy</v>
      </c>
      <c s="30" r="I1581">
        <v>64</v>
      </c>
      <c t="s" s="30" r="J1581">
        <v>154</v>
      </c>
      <c t="s" s="30" r="K1581">
        <v>182</v>
      </c>
      <c t="s" s="30" r="L1581">
        <v>122</v>
      </c>
      <c s="30" r="M1581">
        <v>20</v>
      </c>
      <c s="26" r="N1581">
        <v>0.9</v>
      </c>
      <c s="23" r="O1581">
        <v>0.004</v>
      </c>
      <c s="7" r="P1581"/>
      <c s="7" r="Q1581"/>
      <c s="7" r="R1581">
        <f>IF((P1581&gt;0),O1581,0)</f>
        <v>0</v>
      </c>
      <c t="str" r="S1581">
        <f>CONCATENATE(F1581,E1581)</f>
        <v>NON FTLNON FTL</v>
      </c>
    </row>
    <row r="1582">
      <c t="s" s="7" r="A1582">
        <v>201</v>
      </c>
      <c s="7" r="B1582">
        <v>1609</v>
      </c>
      <c s="30" r="C1582">
        <v>19</v>
      </c>
      <c t="s" s="30" r="D1582">
        <v>174</v>
      </c>
      <c t="s" s="30" r="E1582">
        <v>4</v>
      </c>
      <c t="s" s="30" r="F1582">
        <v>4</v>
      </c>
      <c t="s" s="30" r="G1582">
        <v>255</v>
      </c>
      <c t="str" s="12" r="H1582">
        <f>HYPERLINK("http://sofifa.com/en/fifa13winter/player/146269-mounir-obbadi","M. Obbadi")</f>
        <v>M. Obbadi</v>
      </c>
      <c s="30" r="I1582">
        <v>72</v>
      </c>
      <c t="s" s="30" r="J1582">
        <v>124</v>
      </c>
      <c t="s" s="30" r="K1582">
        <v>187</v>
      </c>
      <c t="s" s="30" r="L1582">
        <v>149</v>
      </c>
      <c s="30" r="M1582">
        <v>29</v>
      </c>
      <c s="26" r="N1582">
        <v>2.3</v>
      </c>
      <c s="23" r="O1582">
        <v>0.009</v>
      </c>
      <c s="7" r="P1582"/>
      <c s="7" r="Q1582"/>
      <c s="7" r="R1582">
        <f>IF((P1582&gt;0),O1582,0)</f>
        <v>0</v>
      </c>
      <c t="str" r="S1582">
        <f>CONCATENATE(F1582,E1582)</f>
        <v>NON FTLNON FTL</v>
      </c>
    </row>
    <row r="1583">
      <c t="s" s="7" r="A1583">
        <v>201</v>
      </c>
      <c s="7" r="B1583">
        <v>1610</v>
      </c>
      <c s="30" r="C1583">
        <v>7</v>
      </c>
      <c t="s" s="30" r="D1583">
        <v>120</v>
      </c>
      <c t="s" s="30" r="E1583">
        <v>4</v>
      </c>
      <c t="s" s="30" r="F1583">
        <v>4</v>
      </c>
      <c t="s" s="30" r="G1583">
        <v>255</v>
      </c>
      <c t="str" s="12" r="H1583">
        <f>HYPERLINK("http://sofifa.com/en/fifa13winter/player/147327-nabil-dirar","N. Dirar")</f>
        <v>N. Dirar</v>
      </c>
      <c s="30" r="I1583">
        <v>74</v>
      </c>
      <c t="s" s="30" r="J1583">
        <v>128</v>
      </c>
      <c t="s" s="30" r="K1583">
        <v>143</v>
      </c>
      <c t="s" s="30" r="L1583">
        <v>158</v>
      </c>
      <c s="30" r="M1583">
        <v>26</v>
      </c>
      <c s="26" r="N1583">
        <v>3.5</v>
      </c>
      <c s="23" r="O1583">
        <v>0.011</v>
      </c>
      <c s="7" r="P1583"/>
      <c s="7" r="Q1583"/>
      <c s="7" r="R1583">
        <f>IF((P1583&gt;0),O1583,0)</f>
        <v>0</v>
      </c>
      <c t="str" r="S1583">
        <f>CONCATENATE(F1583,E1583)</f>
        <v>NON FTLNON FTL</v>
      </c>
    </row>
    <row r="1584">
      <c t="s" s="7" r="A1584">
        <v>201</v>
      </c>
      <c s="7" r="B1584">
        <v>1611</v>
      </c>
      <c s="30" r="C1584">
        <v>17</v>
      </c>
      <c t="s" s="30" r="D1584">
        <v>128</v>
      </c>
      <c t="s" s="30" r="E1584">
        <v>4</v>
      </c>
      <c t="s" s="30" r="F1584">
        <v>4</v>
      </c>
      <c t="s" s="30" r="G1584">
        <v>255</v>
      </c>
      <c t="str" s="12" r="H1584">
        <f>HYPERLINK("http://sofifa.com/en/fifa13winter/player/150075-yannick-ferreira-carrasco","Y. Ferreira Carrasco")</f>
        <v>Y. Ferreira Carrasco</v>
      </c>
      <c s="30" r="I1584">
        <v>72</v>
      </c>
      <c t="s" s="30" r="J1584">
        <v>128</v>
      </c>
      <c t="s" s="30" r="K1584">
        <v>114</v>
      </c>
      <c t="s" s="30" r="L1584">
        <v>125</v>
      </c>
      <c s="30" r="M1584">
        <v>18</v>
      </c>
      <c s="26" r="N1584">
        <v>3.3</v>
      </c>
      <c s="23" r="O1584">
        <v>0.007</v>
      </c>
      <c s="7" r="P1584"/>
      <c s="7" r="Q1584"/>
      <c s="7" r="R1584">
        <f>IF((P1584&gt;0),O1584,0)</f>
        <v>0</v>
      </c>
      <c t="str" r="S1584">
        <f>CONCATENATE(F1584,E1584)</f>
        <v>NON FTLNON FTL</v>
      </c>
    </row>
    <row r="1585">
      <c t="s" s="7" r="A1585">
        <v>201</v>
      </c>
      <c s="7" r="B1585">
        <v>1612</v>
      </c>
      <c s="30" r="C1585">
        <v>18</v>
      </c>
      <c t="s" s="30" r="D1585">
        <v>131</v>
      </c>
      <c t="s" s="30" r="E1585">
        <v>4</v>
      </c>
      <c t="s" s="30" r="F1585">
        <v>4</v>
      </c>
      <c t="s" s="30" r="G1585">
        <v>255</v>
      </c>
      <c t="str" s="12" r="H1585">
        <f>HYPERLINK("http://sofifa.com/en/fifa13winter/player/148839-valere-germain","V. Germain")</f>
        <v>V. Germain</v>
      </c>
      <c s="30" r="I1585">
        <v>71</v>
      </c>
      <c t="s" s="30" r="J1585">
        <v>129</v>
      </c>
      <c t="s" s="30" r="K1585">
        <v>150</v>
      </c>
      <c t="s" s="30" r="L1585">
        <v>151</v>
      </c>
      <c s="30" r="M1585">
        <v>22</v>
      </c>
      <c s="26" r="N1585">
        <v>3</v>
      </c>
      <c s="23" r="O1585">
        <v>0.007</v>
      </c>
      <c s="7" r="P1585"/>
      <c s="7" r="Q1585"/>
      <c s="7" r="R1585">
        <f>IF((P1585&gt;0),O1585,0)</f>
        <v>0</v>
      </c>
      <c t="str" r="S1585">
        <f>CONCATENATE(F1585,E1585)</f>
        <v>NON FTLNON FTL</v>
      </c>
    </row>
    <row r="1586">
      <c t="s" s="7" r="A1586">
        <v>201</v>
      </c>
      <c s="7" r="B1586">
        <v>1613</v>
      </c>
      <c s="30" r="C1586">
        <v>11</v>
      </c>
      <c t="s" s="30" r="D1586">
        <v>133</v>
      </c>
      <c t="s" s="30" r="E1586">
        <v>4</v>
      </c>
      <c t="s" s="30" r="F1586">
        <v>4</v>
      </c>
      <c t="s" s="30" r="G1586">
        <v>255</v>
      </c>
      <c t="str" s="12" r="H1586">
        <f>HYPERLINK("http://sofifa.com/en/fifa13winter/player/147257-ibrahima-toure","I. Touré")</f>
        <v>I. Touré</v>
      </c>
      <c s="30" r="I1586">
        <v>74</v>
      </c>
      <c t="s" s="30" r="J1586">
        <v>129</v>
      </c>
      <c t="s" s="30" r="K1586">
        <v>134</v>
      </c>
      <c t="s" s="30" r="L1586">
        <v>161</v>
      </c>
      <c s="30" r="M1586">
        <v>26</v>
      </c>
      <c s="26" r="N1586">
        <v>4</v>
      </c>
      <c s="23" r="O1586">
        <v>0.011</v>
      </c>
      <c s="7" r="P1586"/>
      <c s="7" r="Q1586"/>
      <c s="7" r="R1586">
        <f>IF((P1586&gt;0),O1586,0)</f>
        <v>0</v>
      </c>
      <c t="str" r="S1586">
        <f>CONCATENATE(F1586,E1586)</f>
        <v>NON FTLNON FTL</v>
      </c>
    </row>
    <row r="1587">
      <c t="s" s="7" r="A1587">
        <v>201</v>
      </c>
      <c s="7" r="B1587">
        <v>1614</v>
      </c>
      <c s="30" r="C1587">
        <v>15</v>
      </c>
      <c t="s" s="30" r="D1587">
        <v>136</v>
      </c>
      <c t="s" s="30" r="E1587">
        <v>4</v>
      </c>
      <c t="s" s="30" r="F1587">
        <v>4</v>
      </c>
      <c t="s" s="30" r="G1587">
        <v>255</v>
      </c>
      <c t="str" s="12" r="H1587">
        <f>HYPERLINK("http://sofifa.com/en/fifa13winter/player/150385-lucas-ocampos","L. Ocampos")</f>
        <v>L. Ocampos</v>
      </c>
      <c s="30" r="I1587">
        <v>70</v>
      </c>
      <c t="s" s="30" r="J1587">
        <v>128</v>
      </c>
      <c t="s" s="30" r="K1587">
        <v>110</v>
      </c>
      <c t="s" s="30" r="L1587">
        <v>193</v>
      </c>
      <c s="30" r="M1587">
        <v>18</v>
      </c>
      <c s="26" r="N1587">
        <v>2.2</v>
      </c>
      <c s="23" r="O1587">
        <v>0.005</v>
      </c>
      <c s="7" r="P1587"/>
      <c s="7" r="Q1587"/>
      <c s="7" r="R1587">
        <f>IF((P1587&gt;0),O1587,0)</f>
        <v>0</v>
      </c>
      <c t="str" r="S1587">
        <f>CONCATENATE(F1587,E1587)</f>
        <v>NON FTLNON FTL</v>
      </c>
    </row>
    <row r="1588">
      <c t="s" s="7" r="A1588">
        <v>201</v>
      </c>
      <c s="7" r="B1588">
        <v>1615</v>
      </c>
      <c s="30" r="C1588">
        <v>16</v>
      </c>
      <c t="s" s="30" r="D1588">
        <v>136</v>
      </c>
      <c t="s" s="30" r="E1588">
        <v>4</v>
      </c>
      <c t="s" s="30" r="F1588">
        <v>4</v>
      </c>
      <c t="s" s="30" r="G1588">
        <v>255</v>
      </c>
      <c t="str" s="12" r="H1588">
        <f>HYPERLINK("http://sofifa.com/en/fifa13winter/player/149547-martin-sourzac","M. Sourzac")</f>
        <v>M. Sourzac</v>
      </c>
      <c s="30" r="I1588">
        <v>64</v>
      </c>
      <c t="s" s="30" r="J1588">
        <v>106</v>
      </c>
      <c t="s" s="30" r="K1588">
        <v>167</v>
      </c>
      <c t="s" s="30" r="L1588">
        <v>161</v>
      </c>
      <c s="30" r="M1588">
        <v>20</v>
      </c>
      <c s="26" r="N1588">
        <v>0.8</v>
      </c>
      <c s="23" r="O1588">
        <v>0.004</v>
      </c>
      <c s="7" r="P1588"/>
      <c s="7" r="Q1588"/>
      <c s="7" r="R1588">
        <f>IF((P1588&gt;0),O1588,0)</f>
        <v>0</v>
      </c>
      <c t="str" r="S1588">
        <f>CONCATENATE(F1588,E1588)</f>
        <v>NON FTLNON FTL</v>
      </c>
    </row>
    <row r="1589">
      <c t="s" s="7" r="A1589">
        <v>201</v>
      </c>
      <c s="7" r="B1589">
        <v>1616</v>
      </c>
      <c s="30" r="C1589">
        <v>29</v>
      </c>
      <c t="s" s="30" r="D1589">
        <v>136</v>
      </c>
      <c t="s" s="30" r="E1589">
        <v>4</v>
      </c>
      <c t="s" s="30" r="F1589">
        <v>4</v>
      </c>
      <c t="s" s="30" r="G1589">
        <v>255</v>
      </c>
      <c t="str" s="12" r="H1589">
        <f>HYPERLINK("http://sofifa.com/en/fifa13winter/player/149145-tristan-dingome","T. Dingomé")</f>
        <v>T. Dingomé</v>
      </c>
      <c s="30" r="I1589">
        <v>67</v>
      </c>
      <c t="s" s="30" r="J1589">
        <v>128</v>
      </c>
      <c t="s" s="30" r="K1589">
        <v>182</v>
      </c>
      <c t="s" s="30" r="L1589">
        <v>163</v>
      </c>
      <c s="30" r="M1589">
        <v>21</v>
      </c>
      <c s="26" r="N1589">
        <v>1.5</v>
      </c>
      <c s="23" r="O1589">
        <v>0.005</v>
      </c>
      <c s="7" r="P1589"/>
      <c s="7" r="Q1589"/>
      <c s="7" r="R1589">
        <f>IF((P1589&gt;0),O1589,0)</f>
        <v>0</v>
      </c>
      <c t="str" r="S1589">
        <f>CONCATENATE(F1589,E1589)</f>
        <v>NON FTLNON FTL</v>
      </c>
    </row>
    <row r="1590">
      <c t="s" s="7" r="A1590">
        <v>201</v>
      </c>
      <c s="7" r="B1590">
        <v>1617</v>
      </c>
      <c s="30" r="C1590">
        <v>10</v>
      </c>
      <c t="s" s="30" r="D1590">
        <v>136</v>
      </c>
      <c t="s" s="30" r="E1590">
        <v>4</v>
      </c>
      <c t="s" s="30" r="F1590">
        <v>4</v>
      </c>
      <c t="s" s="30" r="G1590">
        <v>255</v>
      </c>
      <c t="str" s="12" r="H1590">
        <f>HYPERLINK("http://sofifa.com/en/fifa13winter/player/149290-james-rodriguez","J. Rodríguez")</f>
        <v>J. Rodríguez</v>
      </c>
      <c s="30" r="I1590">
        <v>82</v>
      </c>
      <c t="s" s="30" r="J1590">
        <v>157</v>
      </c>
      <c t="s" s="30" r="K1590">
        <v>114</v>
      </c>
      <c t="s" s="30" r="L1590">
        <v>158</v>
      </c>
      <c s="30" r="M1590">
        <v>21</v>
      </c>
      <c s="26" r="N1590">
        <v>16.2</v>
      </c>
      <c s="23" r="O1590">
        <v>0.047</v>
      </c>
      <c s="7" r="P1590"/>
      <c s="7" r="Q1590"/>
      <c s="7" r="R1590">
        <f>IF((P1590&gt;0),O1590,0)</f>
        <v>0</v>
      </c>
      <c t="str" r="S1590">
        <f>CONCATENATE(F1590,E1590)</f>
        <v>NON FTLNON FTL</v>
      </c>
    </row>
    <row r="1591">
      <c t="s" s="7" r="A1591">
        <v>201</v>
      </c>
      <c s="7" r="B1591">
        <v>1618</v>
      </c>
      <c s="30" r="C1591">
        <v>2</v>
      </c>
      <c t="s" s="30" r="D1591">
        <v>136</v>
      </c>
      <c t="s" s="30" r="E1591">
        <v>4</v>
      </c>
      <c t="s" s="30" r="F1591">
        <v>4</v>
      </c>
      <c t="s" s="30" r="G1591">
        <v>255</v>
      </c>
      <c t="str" s="12" r="H1591">
        <f>HYPERLINK("http://sofifa.com/en/fifa13winter/player/149623-dennis-appiah","D. Appiah")</f>
        <v>D. Appiah</v>
      </c>
      <c s="30" r="I1591">
        <v>64</v>
      </c>
      <c t="s" s="30" r="J1591">
        <v>113</v>
      </c>
      <c t="s" s="30" r="K1591">
        <v>145</v>
      </c>
      <c t="s" s="30" r="L1591">
        <v>115</v>
      </c>
      <c s="30" r="M1591">
        <v>20</v>
      </c>
      <c s="26" r="N1591">
        <v>1</v>
      </c>
      <c s="23" r="O1591">
        <v>0.004</v>
      </c>
      <c s="7" r="P1591"/>
      <c s="7" r="Q1591"/>
      <c s="7" r="R1591">
        <f>IF((P1591&gt;0),O1591,0)</f>
        <v>0</v>
      </c>
      <c t="str" r="S1591">
        <f>CONCATENATE(F1591,E1591)</f>
        <v>NON FTLNON FTL</v>
      </c>
    </row>
    <row r="1592">
      <c t="s" s="7" r="A1592">
        <v>201</v>
      </c>
      <c s="7" r="B1592">
        <v>1619</v>
      </c>
      <c s="30" r="C1592">
        <v>26</v>
      </c>
      <c t="s" s="30" r="D1592">
        <v>136</v>
      </c>
      <c t="s" s="30" r="E1592">
        <v>4</v>
      </c>
      <c t="s" s="30" r="F1592">
        <v>4</v>
      </c>
      <c t="s" s="30" r="G1592">
        <v>255</v>
      </c>
      <c t="str" s="12" r="H1592">
        <f>HYPERLINK("http://sofifa.com/en/fifa13winter/player/148075-delvin-ndinga","D. Ndinga")</f>
        <v>D. Ndinga</v>
      </c>
      <c s="30" r="I1592">
        <v>75</v>
      </c>
      <c t="s" s="30" r="J1592">
        <v>154</v>
      </c>
      <c t="s" s="30" r="K1592">
        <v>150</v>
      </c>
      <c t="s" s="30" r="L1592">
        <v>119</v>
      </c>
      <c s="30" r="M1592">
        <v>24</v>
      </c>
      <c s="26" r="N1592">
        <v>4.2</v>
      </c>
      <c s="23" r="O1592">
        <v>0.013</v>
      </c>
      <c s="7" r="P1592"/>
      <c s="7" r="Q1592"/>
      <c s="7" r="R1592">
        <f>IF((P1592&gt;0),O1592,0)</f>
        <v>0</v>
      </c>
      <c t="str" r="S1592">
        <f>CONCATENATE(F1592,E1592)</f>
        <v>NON FTLNON FTL</v>
      </c>
    </row>
    <row r="1593">
      <c t="s" s="7" r="A1593">
        <v>201</v>
      </c>
      <c s="7" r="B1593">
        <v>1620</v>
      </c>
      <c s="30" r="C1593">
        <v>20</v>
      </c>
      <c t="s" s="30" r="D1593">
        <v>136</v>
      </c>
      <c t="s" s="30" r="E1593">
        <v>4</v>
      </c>
      <c t="s" s="30" r="F1593">
        <v>4</v>
      </c>
      <c t="s" s="30" r="G1593">
        <v>255</v>
      </c>
      <c t="str" s="12" r="H1593">
        <f>HYPERLINK("http://sofifa.com/en/fifa13winter/player/148794-emmanuel-riviere","E. Rivière")</f>
        <v>E. Rivière</v>
      </c>
      <c s="30" r="I1593">
        <v>73</v>
      </c>
      <c t="s" s="30" r="J1593">
        <v>129</v>
      </c>
      <c t="s" s="30" r="K1593">
        <v>143</v>
      </c>
      <c t="s" s="30" r="L1593">
        <v>137</v>
      </c>
      <c s="30" r="M1593">
        <v>22</v>
      </c>
      <c s="26" r="N1593">
        <v>3.8</v>
      </c>
      <c s="23" r="O1593">
        <v>0.009</v>
      </c>
      <c s="7" r="P1593"/>
      <c s="7" r="Q1593"/>
      <c s="7" r="R1593">
        <f>IF((P1593&gt;0),O1593,0)</f>
        <v>0</v>
      </c>
      <c t="str" r="S1593">
        <f>CONCATENATE(F1593,E1593)</f>
        <v>NON FTLNON FTL</v>
      </c>
    </row>
    <row r="1594">
      <c t="s" s="7" r="A1594">
        <v>201</v>
      </c>
      <c s="7" r="B1594">
        <v>1621</v>
      </c>
      <c s="30" r="C1594">
        <v>6</v>
      </c>
      <c t="s" s="30" r="D1594">
        <v>136</v>
      </c>
      <c t="s" s="30" r="E1594">
        <v>4</v>
      </c>
      <c t="s" s="30" r="F1594">
        <v>4</v>
      </c>
      <c t="s" s="30" r="G1594">
        <v>255</v>
      </c>
      <c t="str" s="12" r="H1594">
        <f>HYPERLINK("http://sofifa.com/en/fifa13winter/player/144487-ricardo-alberto-silv-de-carvalho","Ricardo Carvalho")</f>
        <v>Ricardo Carvalho</v>
      </c>
      <c s="30" r="I1594">
        <v>77</v>
      </c>
      <c t="s" s="30" r="J1594">
        <v>113</v>
      </c>
      <c t="s" s="30" r="K1594">
        <v>150</v>
      </c>
      <c t="s" s="30" r="L1594">
        <v>161</v>
      </c>
      <c s="30" r="M1594">
        <v>34</v>
      </c>
      <c s="26" r="N1594">
        <v>3.6</v>
      </c>
      <c s="23" r="O1594">
        <v>0.021</v>
      </c>
      <c s="7" r="P1594"/>
      <c s="7" r="Q1594"/>
      <c s="7" r="R1594">
        <f>IF((P1594&gt;0),O1594,0)</f>
        <v>0</v>
      </c>
      <c t="str" r="S1594">
        <f>CONCATENATE(F1594,E1594)</f>
        <v>NON FTLNON FTL</v>
      </c>
    </row>
    <row r="1595">
      <c t="s" s="7" r="A1595">
        <v>201</v>
      </c>
      <c s="7" r="B1595">
        <v>1622</v>
      </c>
      <c s="30" r="C1595">
        <v>9</v>
      </c>
      <c t="s" s="30" r="D1595">
        <v>136</v>
      </c>
      <c t="s" s="30" r="E1595">
        <v>4</v>
      </c>
      <c t="s" s="30" r="F1595">
        <v>4</v>
      </c>
      <c t="s" s="30" r="G1595">
        <v>255</v>
      </c>
      <c t="str" s="12" r="H1595">
        <f>HYPERLINK("http://sofifa.com/en/fifa13winter/player/147312-radamel-falcao-garcia-zarate","Falcao")</f>
        <v>Falcao</v>
      </c>
      <c s="30" r="I1595">
        <v>90</v>
      </c>
      <c t="s" s="30" r="J1595">
        <v>129</v>
      </c>
      <c t="s" s="30" r="K1595">
        <v>172</v>
      </c>
      <c t="s" s="30" r="L1595">
        <v>151</v>
      </c>
      <c s="30" r="M1595">
        <v>26</v>
      </c>
      <c s="26" r="N1595">
        <v>56</v>
      </c>
      <c s="23" r="O1595">
        <v>0.275</v>
      </c>
      <c s="7" r="P1595"/>
      <c s="7" r="Q1595"/>
      <c s="7" r="R1595">
        <f>IF((P1595&gt;0),O1595,0)</f>
        <v>0</v>
      </c>
      <c t="str" r="S1595">
        <f>CONCATENATE(F1595,E1595)</f>
        <v>NON FTLNON FTL</v>
      </c>
    </row>
    <row r="1596">
      <c t="s" s="7" r="A1596">
        <v>201</v>
      </c>
      <c s="7" r="B1596">
        <v>1623</v>
      </c>
      <c s="30" r="C1596">
        <v>8</v>
      </c>
      <c t="s" s="30" r="D1596">
        <v>136</v>
      </c>
      <c t="s" s="30" r="E1596">
        <v>4</v>
      </c>
      <c t="s" s="30" r="F1596">
        <v>4</v>
      </c>
      <c t="s" s="30" r="G1596">
        <v>255</v>
      </c>
      <c t="str" s="12" r="H1596">
        <f>HYPERLINK("http://sofifa.com/en/fifa13winter/player/147522-joao-filipe-moutinho","João Moutinho")</f>
        <v>João Moutinho</v>
      </c>
      <c s="30" r="I1596">
        <v>83</v>
      </c>
      <c t="s" s="30" r="J1596">
        <v>124</v>
      </c>
      <c t="s" s="30" r="K1596">
        <v>195</v>
      </c>
      <c t="s" s="30" r="L1596">
        <v>151</v>
      </c>
      <c s="30" r="M1596">
        <v>25</v>
      </c>
      <c s="26" r="N1596">
        <v>16.5</v>
      </c>
      <c s="23" r="O1596">
        <v>0.068</v>
      </c>
      <c s="7" r="P1596"/>
      <c s="7" r="Q1596"/>
      <c s="7" r="R1596">
        <f>IF((P1596&gt;0),O1596,0)</f>
        <v>0</v>
      </c>
      <c t="str" r="S1596">
        <f>CONCATENATE(F1596,E1596)</f>
        <v>NON FTLNON FTL</v>
      </c>
    </row>
    <row r="1597">
      <c t="s" s="7" r="A1597">
        <v>201</v>
      </c>
      <c s="7" r="B1597">
        <v>1624</v>
      </c>
      <c s="30" r="C1597">
        <v>31</v>
      </c>
      <c t="s" s="30" r="D1597">
        <v>136</v>
      </c>
      <c t="s" s="30" r="E1597">
        <v>4</v>
      </c>
      <c t="s" s="30" r="F1597">
        <v>4</v>
      </c>
      <c t="s" s="30" r="G1597">
        <v>255</v>
      </c>
      <c t="str" s="12" r="H1597">
        <f>HYPERLINK("http://sofifa.com/en/fifa13winter/player/145973-andreas-wolf","A. Wolf")</f>
        <v>A. Wolf</v>
      </c>
      <c s="30" r="I1597">
        <v>73</v>
      </c>
      <c t="s" s="30" r="J1597">
        <v>113</v>
      </c>
      <c t="s" s="30" r="K1597">
        <v>143</v>
      </c>
      <c t="s" s="30" r="L1597">
        <v>193</v>
      </c>
      <c s="30" r="M1597">
        <v>30</v>
      </c>
      <c s="26" r="N1597">
        <v>2.5</v>
      </c>
      <c s="23" r="O1597">
        <v>0.011</v>
      </c>
      <c s="7" r="P1597"/>
      <c s="7" r="Q1597"/>
      <c s="7" r="R1597">
        <f>IF((P1597&gt;0),O1597,0)</f>
        <v>0</v>
      </c>
      <c t="str" r="S1597">
        <f>CONCATENATE(F1597,E1597)</f>
        <v>NON FTLNON FTL</v>
      </c>
    </row>
    <row r="1598">
      <c t="s" s="7" r="A1598">
        <v>201</v>
      </c>
      <c s="7" r="B1598">
        <v>1625</v>
      </c>
      <c s="30" r="C1598">
        <v>12</v>
      </c>
      <c t="s" s="30" r="D1598">
        <v>136</v>
      </c>
      <c t="s" s="30" r="E1598">
        <v>4</v>
      </c>
      <c t="s" s="30" r="F1598">
        <v>4</v>
      </c>
      <c t="s" s="30" r="G1598">
        <v>255</v>
      </c>
      <c t="str" s="12" r="H1598">
        <f>HYPERLINK("http://sofifa.com/en/fifa13winter/player/145903-adriano-pereira-da-silva","Adriano")</f>
        <v>Adriano</v>
      </c>
      <c s="30" r="I1598">
        <v>67</v>
      </c>
      <c t="s" s="30" r="J1598">
        <v>113</v>
      </c>
      <c t="s" s="30" r="K1598">
        <v>114</v>
      </c>
      <c t="s" s="30" r="L1598">
        <v>151</v>
      </c>
      <c s="30" r="M1598">
        <v>30</v>
      </c>
      <c s="26" r="N1598">
        <v>1.2</v>
      </c>
      <c s="23" r="O1598">
        <v>0.006</v>
      </c>
      <c s="7" r="P1598"/>
      <c s="7" r="Q1598"/>
      <c s="7" r="R1598">
        <f>IF((P1598&gt;0),O1598,0)</f>
        <v>0</v>
      </c>
      <c t="str" r="S1598">
        <f>CONCATENATE(F1598,E1598)</f>
        <v>NON FTLNON FTL</v>
      </c>
    </row>
    <row r="1599">
      <c t="s" s="7" r="A1599">
        <v>201</v>
      </c>
      <c s="7" r="B1599">
        <v>1626</v>
      </c>
      <c s="30" r="C1599">
        <v>14</v>
      </c>
      <c t="s" s="30" r="D1599">
        <v>147</v>
      </c>
      <c t="s" s="30" r="E1599">
        <v>4</v>
      </c>
      <c t="s" s="30" r="F1599">
        <v>4</v>
      </c>
      <c t="s" s="30" r="G1599">
        <v>255</v>
      </c>
      <c t="str" s="12" r="H1599">
        <f>HYPERLINK("http://sofifa.com/en/fifa13winter/player/146363-jakob-poulsen","J. Poulsen")</f>
        <v>J. Poulsen</v>
      </c>
      <c s="30" r="I1599">
        <v>68</v>
      </c>
      <c t="s" s="30" r="J1599">
        <v>124</v>
      </c>
      <c t="s" s="30" r="K1599">
        <v>143</v>
      </c>
      <c t="s" s="30" r="L1599">
        <v>146</v>
      </c>
      <c s="30" r="M1599">
        <v>29</v>
      </c>
      <c s="26" r="N1599">
        <v>1.4</v>
      </c>
      <c s="23" r="O1599">
        <v>0.006</v>
      </c>
      <c s="7" r="P1599"/>
      <c s="7" r="Q1599"/>
      <c s="7" r="R1599">
        <f>IF((P1599&gt;0),O1599,0)</f>
        <v>0</v>
      </c>
      <c t="str" r="S1599">
        <f>CONCATENATE(F1599,E1599)</f>
        <v>NON FTLNON FTL</v>
      </c>
    </row>
    <row r="1600">
      <c t="s" s="7" r="A1600">
        <v>201</v>
      </c>
      <c s="7" r="B1600">
        <v>1627</v>
      </c>
      <c s="30" r="C1600">
        <v>32</v>
      </c>
      <c t="s" s="30" r="D1600">
        <v>147</v>
      </c>
      <c t="s" s="30" r="E1600">
        <v>4</v>
      </c>
      <c t="s" s="30" r="F1600">
        <v>4</v>
      </c>
      <c t="s" s="30" r="G1600">
        <v>255</v>
      </c>
      <c t="str" s="12" r="H1600">
        <f>HYPERLINK("http://sofifa.com/en/fifa13winter/player/146059-stephane-dumont","S. Dumont")</f>
        <v>S. Dumont</v>
      </c>
      <c s="30" r="I1600">
        <v>68</v>
      </c>
      <c t="s" s="30" r="J1600">
        <v>154</v>
      </c>
      <c t="s" s="30" r="K1600">
        <v>110</v>
      </c>
      <c t="s" s="30" r="L1600">
        <v>153</v>
      </c>
      <c s="30" r="M1600">
        <v>29</v>
      </c>
      <c s="26" r="N1600">
        <v>1.3</v>
      </c>
      <c s="23" r="O1600">
        <v>0.006</v>
      </c>
      <c s="7" r="P1600"/>
      <c s="7" r="Q1600"/>
      <c s="7" r="R1600">
        <f>IF((P1600&gt;0),O1600,0)</f>
        <v>0</v>
      </c>
      <c t="str" r="S1600">
        <f>CONCATENATE(F1600,E1600)</f>
        <v>NON FTLNON FTL</v>
      </c>
    </row>
    <row r="1601">
      <c t="s" s="7" r="A1601">
        <v>201</v>
      </c>
      <c s="7" r="B1601">
        <v>1628</v>
      </c>
      <c s="30" r="C1601">
        <v>3</v>
      </c>
      <c t="s" s="30" r="D1601">
        <v>147</v>
      </c>
      <c t="s" s="30" r="E1601">
        <v>4</v>
      </c>
      <c t="s" s="30" r="F1601">
        <v>4</v>
      </c>
      <c t="s" s="30" r="G1601">
        <v>255</v>
      </c>
      <c t="str" s="12" r="H1601">
        <f>HYPERLINK("http://sofifa.com/en/fifa13winter/player/149710-layvin-kurzawa","L. Kurzawa")</f>
        <v>L. Kurzawa</v>
      </c>
      <c s="30" r="I1601">
        <v>61</v>
      </c>
      <c t="s" s="30" r="J1601">
        <v>117</v>
      </c>
      <c t="s" s="30" r="K1601">
        <v>143</v>
      </c>
      <c t="s" s="30" r="L1601">
        <v>119</v>
      </c>
      <c s="30" r="M1601">
        <v>19</v>
      </c>
      <c s="26" r="N1601">
        <v>0.6</v>
      </c>
      <c s="23" r="O1601">
        <v>0.003</v>
      </c>
      <c s="7" r="P1601"/>
      <c s="7" r="Q1601"/>
      <c s="7" r="R1601">
        <f>IF((P1601&gt;0),O1601,0)</f>
        <v>0</v>
      </c>
      <c t="str" r="S1601">
        <f>CONCATENATE(F1601,E1601)</f>
        <v>NON FTLNON FTL</v>
      </c>
    </row>
    <row r="1602">
      <c t="s" s="7" r="A1602">
        <v>201</v>
      </c>
      <c s="7" r="B1602">
        <v>1629</v>
      </c>
      <c s="30" r="C1602">
        <v>5</v>
      </c>
      <c t="s" s="30" r="D1602">
        <v>147</v>
      </c>
      <c t="s" s="30" r="E1602">
        <v>4</v>
      </c>
      <c t="s" s="30" r="F1602">
        <v>4</v>
      </c>
      <c t="s" s="30" r="G1602">
        <v>255</v>
      </c>
      <c t="str" s="12" r="H1602">
        <f>HYPERLINK("http://sofifa.com/en/fifa13winter/player/147360-gary-coulibaly","G. Coulibaly")</f>
        <v>G. Coulibaly</v>
      </c>
      <c s="30" r="I1602">
        <v>64</v>
      </c>
      <c t="s" s="30" r="J1602">
        <v>124</v>
      </c>
      <c t="s" s="30" r="K1602">
        <v>110</v>
      </c>
      <c t="s" s="30" r="L1602">
        <v>158</v>
      </c>
      <c s="30" r="M1602">
        <v>26</v>
      </c>
      <c s="26" r="N1602">
        <v>0.8</v>
      </c>
      <c s="23" r="O1602">
        <v>0.004</v>
      </c>
      <c s="7" r="P1602"/>
      <c s="7" r="Q1602"/>
      <c s="7" r="R1602">
        <f>IF((P1602&gt;0),O1602,0)</f>
        <v>0</v>
      </c>
      <c t="str" r="S1602">
        <f>CONCATENATE(F1602,E1602)</f>
        <v>NON FTLNON FTL</v>
      </c>
    </row>
    <row r="1603">
      <c t="s" s="7" r="A1603">
        <v>201</v>
      </c>
      <c s="7" r="B1603">
        <v>1630</v>
      </c>
      <c s="30" r="C1603">
        <v>30</v>
      </c>
      <c t="s" s="30" r="D1603">
        <v>147</v>
      </c>
      <c t="s" s="30" r="E1603">
        <v>4</v>
      </c>
      <c t="s" s="30" r="F1603">
        <v>4</v>
      </c>
      <c t="s" s="30" r="G1603">
        <v>255</v>
      </c>
      <c t="str" s="12" r="H1603">
        <f>HYPERLINK("http://sofifa.com/en/fifa13winter/player/143060-flavio-roma","F. Roma")</f>
        <v>F. Roma</v>
      </c>
      <c s="30" r="I1603">
        <v>66</v>
      </c>
      <c t="s" s="30" r="J1603">
        <v>106</v>
      </c>
      <c t="s" s="30" r="K1603">
        <v>144</v>
      </c>
      <c t="s" s="30" r="L1603">
        <v>180</v>
      </c>
      <c s="30" r="M1603">
        <v>38</v>
      </c>
      <c s="26" r="N1603">
        <v>0.4</v>
      </c>
      <c s="23" r="O1603">
        <v>0.007</v>
      </c>
      <c s="7" r="P1603"/>
      <c s="7" r="Q1603"/>
      <c s="7" r="R1603">
        <f>IF((P1603&gt;0),O1603,0)</f>
        <v>0</v>
      </c>
      <c t="str" r="S1603">
        <f>CONCATENATE(F1603,E1603)</f>
        <v>NON FTLNON FTL</v>
      </c>
    </row>
    <row r="1604">
      <c t="s" s="7" r="A1604">
        <v>201</v>
      </c>
      <c s="7" r="B1604">
        <v>1631</v>
      </c>
      <c s="30" r="C1604">
        <v>1</v>
      </c>
      <c t="s" s="30" r="D1604">
        <v>106</v>
      </c>
      <c t="s" s="30" r="E1604">
        <v>4</v>
      </c>
      <c t="s" s="30" r="F1604">
        <v>4</v>
      </c>
      <c t="s" s="30" r="G1604">
        <v>256</v>
      </c>
      <c t="str" s="12" r="H1604">
        <f>HYPERLINK("http://sofifa.com/en/fifa13winter/player/148410-ron-robert-zieler","R. Zieler")</f>
        <v>R. Zieler</v>
      </c>
      <c s="30" r="I1604">
        <v>78</v>
      </c>
      <c t="s" s="30" r="J1604">
        <v>106</v>
      </c>
      <c t="s" s="30" r="K1604">
        <v>134</v>
      </c>
      <c t="s" s="30" r="L1604">
        <v>108</v>
      </c>
      <c s="30" r="M1604">
        <v>23</v>
      </c>
      <c s="26" r="N1604">
        <v>5.6</v>
      </c>
      <c s="23" r="O1604">
        <v>0.018</v>
      </c>
      <c s="7" r="P1604"/>
      <c s="7" r="Q1604"/>
      <c s="7" r="R1604">
        <f>IF((P1604&gt;0),O1604,0)</f>
        <v>0</v>
      </c>
      <c t="str" r="S1604">
        <f>CONCATENATE(F1604,E1604)</f>
        <v>NON FTLNON FTL</v>
      </c>
    </row>
    <row r="1605">
      <c t="s" s="7" r="A1605">
        <v>201</v>
      </c>
      <c s="7" r="B1605">
        <v>1632</v>
      </c>
      <c s="30" r="C1605">
        <v>6</v>
      </c>
      <c t="s" s="30" r="D1605">
        <v>109</v>
      </c>
      <c t="s" s="30" r="E1605">
        <v>4</v>
      </c>
      <c t="s" s="30" r="F1605">
        <v>4</v>
      </c>
      <c t="s" s="30" r="G1605">
        <v>256</v>
      </c>
      <c t="str" s="12" r="H1605">
        <f>HYPERLINK("http://sofifa.com/en/fifa13winter/player/144764-steven-cherundolo","S. Cherundolo")</f>
        <v>S. Cherundolo</v>
      </c>
      <c s="30" r="I1605">
        <v>73</v>
      </c>
      <c t="s" s="30" r="J1605">
        <v>109</v>
      </c>
      <c t="s" s="30" r="K1605">
        <v>187</v>
      </c>
      <c t="s" s="30" r="L1605">
        <v>111</v>
      </c>
      <c s="30" r="M1605">
        <v>33</v>
      </c>
      <c s="26" r="N1605">
        <v>2</v>
      </c>
      <c s="23" r="O1605">
        <v>0.012</v>
      </c>
      <c s="7" r="P1605"/>
      <c s="7" r="Q1605"/>
      <c s="7" r="R1605">
        <f>IF((P1605&gt;0),O1605,0)</f>
        <v>0</v>
      </c>
      <c t="str" r="S1605">
        <f>CONCATENATE(F1605,E1605)</f>
        <v>NON FTLNON FTL</v>
      </c>
    </row>
    <row r="1606">
      <c t="s" s="7" r="A1606">
        <v>201</v>
      </c>
      <c s="7" r="B1606">
        <v>1633</v>
      </c>
      <c s="30" r="C1606">
        <v>19</v>
      </c>
      <c t="s" s="30" r="D1606">
        <v>112</v>
      </c>
      <c t="s" s="30" r="E1606">
        <v>4</v>
      </c>
      <c t="s" s="30" r="F1606">
        <v>4</v>
      </c>
      <c t="s" s="30" r="G1606">
        <v>256</v>
      </c>
      <c t="str" s="12" r="H1606">
        <f>HYPERLINK("http://sofifa.com/en/fifa13winter/player/146266-christian-schulz","C. Schulz")</f>
        <v>C. Schulz</v>
      </c>
      <c s="30" r="I1606">
        <v>75</v>
      </c>
      <c t="s" s="30" r="J1606">
        <v>113</v>
      </c>
      <c t="s" s="30" r="K1606">
        <v>132</v>
      </c>
      <c t="s" s="30" r="L1606">
        <v>153</v>
      </c>
      <c s="30" r="M1606">
        <v>29</v>
      </c>
      <c s="26" r="N1606">
        <v>3.7</v>
      </c>
      <c s="23" r="O1606">
        <v>0.014</v>
      </c>
      <c s="7" r="P1606"/>
      <c s="7" r="Q1606"/>
      <c s="7" r="R1606">
        <f>IF((P1606&gt;0),O1606,0)</f>
        <v>0</v>
      </c>
      <c t="str" r="S1606">
        <f>CONCATENATE(F1606,E1606)</f>
        <v>NON FTLNON FTL</v>
      </c>
    </row>
    <row r="1607">
      <c t="s" s="7" r="A1607">
        <v>201</v>
      </c>
      <c s="7" r="B1607">
        <v>1634</v>
      </c>
      <c s="30" r="C1607">
        <v>5</v>
      </c>
      <c t="s" s="30" r="D1607">
        <v>116</v>
      </c>
      <c t="s" s="30" r="E1607">
        <v>4</v>
      </c>
      <c t="s" s="30" r="F1607">
        <v>4</v>
      </c>
      <c t="s" s="30" r="G1607">
        <v>256</v>
      </c>
      <c t="str" s="12" r="H1607">
        <f>HYPERLINK("http://sofifa.com/en/fifa13winter/player/145469-mario-eggimann","M. Eggimann")</f>
        <v>M. Eggimann</v>
      </c>
      <c s="30" r="I1607">
        <v>72</v>
      </c>
      <c t="s" s="30" r="J1607">
        <v>113</v>
      </c>
      <c t="s" s="30" r="K1607">
        <v>169</v>
      </c>
      <c t="s" s="30" r="L1607">
        <v>156</v>
      </c>
      <c s="30" r="M1607">
        <v>31</v>
      </c>
      <c s="26" r="N1607">
        <v>2.1</v>
      </c>
      <c s="23" r="O1607">
        <v>0.01</v>
      </c>
      <c s="7" r="P1607"/>
      <c s="7" r="Q1607"/>
      <c s="7" r="R1607">
        <f>IF((P1607&gt;0),O1607,0)</f>
        <v>0</v>
      </c>
      <c t="str" r="S1607">
        <f>CONCATENATE(F1607,E1607)</f>
        <v>NON FTLNON FTL</v>
      </c>
    </row>
    <row r="1608">
      <c t="s" s="7" r="A1608">
        <v>201</v>
      </c>
      <c s="7" r="B1608">
        <v>1635</v>
      </c>
      <c s="30" r="C1608">
        <v>18</v>
      </c>
      <c t="s" s="30" r="D1608">
        <v>117</v>
      </c>
      <c t="s" s="30" r="E1608">
        <v>4</v>
      </c>
      <c t="s" s="30" r="F1608">
        <v>4</v>
      </c>
      <c t="s" s="30" r="G1608">
        <v>256</v>
      </c>
      <c t="str" s="12" r="H1608">
        <f>HYPERLINK("http://sofifa.com/en/fifa13winter/player/147849-sebastien-pocognoli","S. Pocognoli")</f>
        <v>S. Pocognoli</v>
      </c>
      <c s="30" r="I1608">
        <v>73</v>
      </c>
      <c t="s" s="30" r="J1608">
        <v>117</v>
      </c>
      <c t="s" s="30" r="K1608">
        <v>110</v>
      </c>
      <c t="s" s="30" r="L1608">
        <v>161</v>
      </c>
      <c s="30" r="M1608">
        <v>25</v>
      </c>
      <c s="26" r="N1608">
        <v>2.8</v>
      </c>
      <c s="23" r="O1608">
        <v>0.01</v>
      </c>
      <c s="7" r="P1608"/>
      <c s="7" r="Q1608"/>
      <c s="7" r="R1608">
        <f>IF((P1608&gt;0),O1608,0)</f>
        <v>0</v>
      </c>
      <c t="str" r="S1608">
        <f>CONCATENATE(F1608,E1608)</f>
        <v>NON FTLNON FTL</v>
      </c>
    </row>
    <row r="1609">
      <c t="s" s="7" r="A1609">
        <v>201</v>
      </c>
      <c s="7" r="B1609">
        <v>1636</v>
      </c>
      <c s="30" r="C1609">
        <v>15</v>
      </c>
      <c t="s" s="30" r="D1609">
        <v>186</v>
      </c>
      <c t="s" s="30" r="E1609">
        <v>4</v>
      </c>
      <c t="s" s="30" r="F1609">
        <v>4</v>
      </c>
      <c t="s" s="30" r="G1609">
        <v>256</v>
      </c>
      <c t="str" s="12" r="H1609">
        <f>HYPERLINK("http://sofifa.com/en/fifa13winter/player/149887-andre-hoffmann","A. Hoffmann")</f>
        <v>A. Hoffmann</v>
      </c>
      <c s="30" r="I1609">
        <v>69</v>
      </c>
      <c t="s" s="30" r="J1609">
        <v>154</v>
      </c>
      <c t="s" s="30" r="K1609">
        <v>134</v>
      </c>
      <c t="s" s="30" r="L1609">
        <v>156</v>
      </c>
      <c s="30" r="M1609">
        <v>19</v>
      </c>
      <c s="26" r="N1609">
        <v>1.9</v>
      </c>
      <c s="23" r="O1609">
        <v>0.005</v>
      </c>
      <c s="7" r="P1609"/>
      <c s="7" r="Q1609"/>
      <c s="7" r="R1609">
        <f>IF((P1609&gt;0),O1609,0)</f>
        <v>0</v>
      </c>
      <c t="str" r="S1609">
        <f>CONCATENATE(F1609,E1609)</f>
        <v>NON FTLNON FTL</v>
      </c>
    </row>
    <row r="1610">
      <c t="s" s="7" r="A1610">
        <v>201</v>
      </c>
      <c s="7" r="B1610">
        <v>1637</v>
      </c>
      <c s="30" r="C1610">
        <v>7</v>
      </c>
      <c t="s" s="30" r="D1610">
        <v>174</v>
      </c>
      <c t="s" s="30" r="E1610">
        <v>4</v>
      </c>
      <c t="s" s="30" r="F1610">
        <v>4</v>
      </c>
      <c t="s" s="30" r="G1610">
        <v>256</v>
      </c>
      <c t="str" s="12" r="H1610">
        <f>HYPERLINK("http://sofifa.com/en/fifa13winter/player/145369-sergio-da-silva-pinto","S. da Silva Pinto")</f>
        <v>S. da Silva Pinto</v>
      </c>
      <c s="30" r="I1610">
        <v>75</v>
      </c>
      <c t="s" s="30" r="J1610">
        <v>154</v>
      </c>
      <c t="s" s="30" r="K1610">
        <v>172</v>
      </c>
      <c t="s" s="30" r="L1610">
        <v>146</v>
      </c>
      <c s="30" r="M1610">
        <v>31</v>
      </c>
      <c s="26" r="N1610">
        <v>3.3</v>
      </c>
      <c s="23" r="O1610">
        <v>0.015</v>
      </c>
      <c s="7" r="P1610"/>
      <c s="7" r="Q1610"/>
      <c s="7" r="R1610">
        <f>IF((P1610&gt;0),O1610,0)</f>
        <v>0</v>
      </c>
      <c t="str" r="S1610">
        <f>CONCATENATE(F1610,E1610)</f>
        <v>NON FTLNON FTL</v>
      </c>
    </row>
    <row r="1611">
      <c t="s" s="7" r="A1611">
        <v>201</v>
      </c>
      <c s="7" r="B1611">
        <v>1638</v>
      </c>
      <c s="30" r="C1611">
        <v>28</v>
      </c>
      <c t="s" s="30" r="D1611">
        <v>120</v>
      </c>
      <c t="s" s="30" r="E1611">
        <v>4</v>
      </c>
      <c t="s" s="30" r="F1611">
        <v>4</v>
      </c>
      <c t="s" s="30" r="G1611">
        <v>256</v>
      </c>
      <c t="str" s="12" r="H1611">
        <f>HYPERLINK("http://sofifa.com/en/fifa13winter/player/148240-lars-stindl","L. Stindl")</f>
        <v>L. Stindl</v>
      </c>
      <c s="30" r="I1611">
        <v>77</v>
      </c>
      <c t="s" s="30" r="J1611">
        <v>120</v>
      </c>
      <c t="s" s="30" r="K1611">
        <v>114</v>
      </c>
      <c t="s" s="30" r="L1611">
        <v>161</v>
      </c>
      <c s="30" r="M1611">
        <v>24</v>
      </c>
      <c s="26" r="N1611">
        <v>6</v>
      </c>
      <c s="23" r="O1611">
        <v>0.017</v>
      </c>
      <c s="7" r="P1611"/>
      <c s="7" r="Q1611"/>
      <c s="7" r="R1611">
        <f>IF((P1611&gt;0),O1611,0)</f>
        <v>0</v>
      </c>
      <c t="str" r="S1611">
        <f>CONCATENATE(F1611,E1611)</f>
        <v>NON FTLNON FTL</v>
      </c>
    </row>
    <row r="1612">
      <c t="s" s="7" r="A1612">
        <v>201</v>
      </c>
      <c s="7" r="B1612">
        <v>1639</v>
      </c>
      <c s="30" r="C1612">
        <v>34</v>
      </c>
      <c t="s" s="30" r="D1612">
        <v>128</v>
      </c>
      <c t="s" s="30" r="E1612">
        <v>4</v>
      </c>
      <c t="s" s="30" r="F1612">
        <v>4</v>
      </c>
      <c t="s" s="30" r="G1612">
        <v>256</v>
      </c>
      <c t="str" s="12" r="H1612">
        <f>HYPERLINK("http://sofifa.com/en/fifa13winter/player/148806-konstantin-rausch","K. Rausch")</f>
        <v>K. Rausch</v>
      </c>
      <c s="30" r="I1612">
        <v>72</v>
      </c>
      <c t="s" s="30" r="J1612">
        <v>117</v>
      </c>
      <c t="s" s="30" r="K1612">
        <v>143</v>
      </c>
      <c t="s" s="30" r="L1612">
        <v>161</v>
      </c>
      <c s="30" r="M1612">
        <v>22</v>
      </c>
      <c s="26" r="N1612">
        <v>2.6</v>
      </c>
      <c s="23" r="O1612">
        <v>0.008</v>
      </c>
      <c s="7" r="P1612"/>
      <c s="7" r="Q1612"/>
      <c s="7" r="R1612">
        <f>IF((P1612&gt;0),O1612,0)</f>
        <v>0</v>
      </c>
      <c t="str" r="S1612">
        <f>CONCATENATE(F1612,E1612)</f>
        <v>NON FTLNON FTL</v>
      </c>
    </row>
    <row r="1613">
      <c t="s" s="7" r="A1613">
        <v>201</v>
      </c>
      <c s="7" r="B1613">
        <v>1640</v>
      </c>
      <c s="30" r="C1613">
        <v>11</v>
      </c>
      <c t="s" s="30" r="D1613">
        <v>131</v>
      </c>
      <c t="s" s="30" r="E1613">
        <v>4</v>
      </c>
      <c t="s" s="30" r="F1613">
        <v>4</v>
      </c>
      <c t="s" s="30" r="G1613">
        <v>256</v>
      </c>
      <c t="str" s="12" r="H1613">
        <f>HYPERLINK("http://sofifa.com/en/fifa13winter/player/146683-didier-ya-konan","D. Ya Konan")</f>
        <v>D. Ya Konan</v>
      </c>
      <c s="30" r="I1613">
        <v>78</v>
      </c>
      <c t="s" s="30" r="J1613">
        <v>129</v>
      </c>
      <c t="s" s="30" r="K1613">
        <v>182</v>
      </c>
      <c t="s" s="30" r="L1613">
        <v>160</v>
      </c>
      <c s="30" r="M1613">
        <v>28</v>
      </c>
      <c s="26" r="N1613">
        <v>7.3</v>
      </c>
      <c s="23" r="O1613">
        <v>0.02</v>
      </c>
      <c s="7" r="P1613"/>
      <c s="7" r="Q1613"/>
      <c s="7" r="R1613">
        <f>IF((P1613&gt;0),O1613,0)</f>
        <v>0</v>
      </c>
      <c t="str" r="S1613">
        <f>CONCATENATE(F1613,E1613)</f>
        <v>NON FTLNON FTL</v>
      </c>
    </row>
    <row r="1614">
      <c t="s" s="7" r="A1614">
        <v>201</v>
      </c>
      <c s="7" r="B1614">
        <v>1641</v>
      </c>
      <c s="30" r="C1614">
        <v>39</v>
      </c>
      <c t="s" s="30" r="D1614">
        <v>133</v>
      </c>
      <c t="s" s="30" r="E1614">
        <v>4</v>
      </c>
      <c t="s" s="30" r="F1614">
        <v>4</v>
      </c>
      <c t="s" s="30" r="G1614">
        <v>256</v>
      </c>
      <c t="str" s="12" r="H1614">
        <f>HYPERLINK("http://sofifa.com/en/fifa13winter/player/147986-mame-diouf","M. Diouf")</f>
        <v>M. Diouf</v>
      </c>
      <c s="30" r="I1614">
        <v>79</v>
      </c>
      <c t="s" s="30" r="J1614">
        <v>129</v>
      </c>
      <c t="s" s="30" r="K1614">
        <v>132</v>
      </c>
      <c t="s" s="30" r="L1614">
        <v>158</v>
      </c>
      <c s="30" r="M1614">
        <v>24</v>
      </c>
      <c s="26" r="N1614">
        <v>8.8</v>
      </c>
      <c s="23" r="O1614">
        <v>0.022</v>
      </c>
      <c s="7" r="P1614"/>
      <c s="7" r="Q1614"/>
      <c s="7" r="R1614">
        <f>IF((P1614&gt;0),O1614,0)</f>
        <v>0</v>
      </c>
      <c t="str" r="S1614">
        <f>CONCATENATE(F1614,E1614)</f>
        <v>NON FTLNON FTL</v>
      </c>
    </row>
    <row r="1615">
      <c t="s" s="7" r="A1615">
        <v>201</v>
      </c>
      <c s="7" r="B1615">
        <v>1642</v>
      </c>
      <c s="30" r="C1615">
        <v>24</v>
      </c>
      <c t="s" s="30" r="D1615">
        <v>136</v>
      </c>
      <c t="s" s="30" r="E1615">
        <v>4</v>
      </c>
      <c t="s" s="30" r="F1615">
        <v>4</v>
      </c>
      <c t="s" s="30" r="G1615">
        <v>256</v>
      </c>
      <c t="str" s="12" r="H1615">
        <f>HYPERLINK("http://sofifa.com/en/fifa13winter/player/146415-christian-pander","C. Pander")</f>
        <v>C. Pander</v>
      </c>
      <c s="30" r="I1615">
        <v>74</v>
      </c>
      <c t="s" s="30" r="J1615">
        <v>117</v>
      </c>
      <c t="s" s="30" r="K1615">
        <v>173</v>
      </c>
      <c t="s" s="30" r="L1615">
        <v>153</v>
      </c>
      <c s="30" r="M1615">
        <v>29</v>
      </c>
      <c s="26" r="N1615">
        <v>3.4</v>
      </c>
      <c s="23" r="O1615">
        <v>0.012</v>
      </c>
      <c s="7" r="P1615"/>
      <c s="7" r="Q1615"/>
      <c s="7" r="R1615">
        <f>IF((P1615&gt;0),O1615,0)</f>
        <v>0</v>
      </c>
      <c t="str" r="S1615">
        <f>CONCATENATE(F1615,E1615)</f>
        <v>NON FTLNON FTL</v>
      </c>
    </row>
    <row r="1616">
      <c t="s" s="7" r="A1616">
        <v>201</v>
      </c>
      <c s="7" r="B1616">
        <v>1643</v>
      </c>
      <c s="30" r="C1616">
        <v>4</v>
      </c>
      <c t="s" s="30" r="D1616">
        <v>136</v>
      </c>
      <c t="s" s="30" r="E1616">
        <v>4</v>
      </c>
      <c t="s" s="30" r="F1616">
        <v>4</v>
      </c>
      <c t="s" s="30" r="G1616">
        <v>256</v>
      </c>
      <c t="str" s="12" r="H1616">
        <f>HYPERLINK("http://sofifa.com/en/fifa13winter/player/148834-hiroki-sakai","H. Sakai")</f>
        <v>H. Sakai</v>
      </c>
      <c s="30" r="I1616">
        <v>70</v>
      </c>
      <c t="s" s="30" r="J1616">
        <v>109</v>
      </c>
      <c t="s" s="30" r="K1616">
        <v>110</v>
      </c>
      <c t="s" s="30" r="L1616">
        <v>122</v>
      </c>
      <c s="30" r="M1616">
        <v>22</v>
      </c>
      <c s="26" r="N1616">
        <v>1.8</v>
      </c>
      <c s="23" r="O1616">
        <v>0.006</v>
      </c>
      <c s="7" r="P1616"/>
      <c s="7" r="Q1616"/>
      <c s="7" r="R1616">
        <f>IF((P1616&gt;0),O1616,0)</f>
        <v>0</v>
      </c>
      <c t="str" r="S1616">
        <f>CONCATENATE(F1616,E1616)</f>
        <v>NON FTLNON FTL</v>
      </c>
    </row>
    <row r="1617">
      <c t="s" s="7" r="A1617">
        <v>201</v>
      </c>
      <c s="7" r="B1617">
        <v>1644</v>
      </c>
      <c s="30" r="C1617">
        <v>13</v>
      </c>
      <c t="s" s="30" r="D1617">
        <v>136</v>
      </c>
      <c t="s" s="30" r="E1617">
        <v>4</v>
      </c>
      <c t="s" s="30" r="F1617">
        <v>4</v>
      </c>
      <c t="s" s="30" r="G1617">
        <v>256</v>
      </c>
      <c t="str" s="12" r="H1617">
        <f>HYPERLINK("http://sofifa.com/en/fifa13winter/player/146374-jan-schlaudraff","J. Schlaudraff")</f>
        <v>J. Schlaudraff</v>
      </c>
      <c s="30" r="I1617">
        <v>77</v>
      </c>
      <c t="s" s="30" r="J1617">
        <v>171</v>
      </c>
      <c t="s" s="30" r="K1617">
        <v>114</v>
      </c>
      <c t="s" s="30" r="L1617">
        <v>146</v>
      </c>
      <c s="30" r="M1617">
        <v>29</v>
      </c>
      <c s="26" r="N1617">
        <v>6.1</v>
      </c>
      <c s="23" r="O1617">
        <v>0.018</v>
      </c>
      <c s="7" r="P1617"/>
      <c s="7" r="Q1617"/>
      <c s="7" r="R1617">
        <f>IF((P1617&gt;0),O1617,0)</f>
        <v>0</v>
      </c>
      <c t="str" r="S1617">
        <f>CONCATENATE(F1617,E1617)</f>
        <v>NON FTLNON FTL</v>
      </c>
    </row>
    <row r="1618">
      <c t="s" s="7" r="A1618">
        <v>201</v>
      </c>
      <c s="7" r="B1618">
        <v>1645</v>
      </c>
      <c s="30" r="C1618">
        <v>8</v>
      </c>
      <c t="s" s="30" r="D1618">
        <v>136</v>
      </c>
      <c t="s" s="30" r="E1618">
        <v>4</v>
      </c>
      <c t="s" s="30" r="F1618">
        <v>4</v>
      </c>
      <c t="s" s="30" r="G1618">
        <v>256</v>
      </c>
      <c t="str" s="12" r="H1618">
        <f>HYPERLINK("http://sofifa.com/en/fifa13winter/player/148341-manuel-schmiedebach","M. Schmiedebach")</f>
        <v>M. Schmiedebach</v>
      </c>
      <c s="30" r="I1618">
        <v>75</v>
      </c>
      <c t="s" s="30" r="J1618">
        <v>154</v>
      </c>
      <c t="s" s="30" r="K1618">
        <v>121</v>
      </c>
      <c t="s" s="30" r="L1618">
        <v>122</v>
      </c>
      <c s="30" r="M1618">
        <v>23</v>
      </c>
      <c s="26" r="N1618">
        <v>4.1</v>
      </c>
      <c s="23" r="O1618">
        <v>0.012</v>
      </c>
      <c s="7" r="P1618"/>
      <c s="7" r="Q1618"/>
      <c s="7" r="R1618">
        <f>IF((P1618&gt;0),O1618,0)</f>
        <v>0</v>
      </c>
      <c t="str" r="S1618">
        <f>CONCATENATE(F1618,E1618)</f>
        <v>NON FTLNON FTL</v>
      </c>
    </row>
    <row r="1619">
      <c t="s" s="7" r="A1619">
        <v>201</v>
      </c>
      <c s="7" r="B1619">
        <v>1646</v>
      </c>
      <c s="30" r="C1619">
        <v>9</v>
      </c>
      <c t="s" s="30" r="D1619">
        <v>136</v>
      </c>
      <c t="s" s="30" r="E1619">
        <v>4</v>
      </c>
      <c t="s" s="30" r="F1619">
        <v>4</v>
      </c>
      <c t="s" s="30" r="G1619">
        <v>256</v>
      </c>
      <c t="str" s="12" r="H1619">
        <f>HYPERLINK("http://sofifa.com/en/fifa13winter/player/148895-artur-sobiech","A. Sobiech")</f>
        <v>A. Sobiech</v>
      </c>
      <c s="30" r="I1619">
        <v>73</v>
      </c>
      <c t="s" s="30" r="J1619">
        <v>129</v>
      </c>
      <c t="s" s="30" r="K1619">
        <v>132</v>
      </c>
      <c t="s" s="30" r="L1619">
        <v>183</v>
      </c>
      <c s="30" r="M1619">
        <v>22</v>
      </c>
      <c s="26" r="N1619">
        <v>3.8</v>
      </c>
      <c s="23" r="O1619">
        <v>0.009</v>
      </c>
      <c s="7" r="P1619"/>
      <c s="7" r="Q1619"/>
      <c s="7" r="R1619">
        <f>IF((P1619&gt;0),O1619,0)</f>
        <v>0</v>
      </c>
      <c t="str" r="S1619">
        <f>CONCATENATE(F1619,E1619)</f>
        <v>NON FTLNON FTL</v>
      </c>
    </row>
    <row r="1620">
      <c t="s" s="7" r="A1620">
        <v>201</v>
      </c>
      <c s="7" r="B1620">
        <v>1647</v>
      </c>
      <c s="30" r="C1620">
        <v>20</v>
      </c>
      <c t="s" s="30" r="D1620">
        <v>136</v>
      </c>
      <c t="s" s="30" r="E1620">
        <v>4</v>
      </c>
      <c t="s" s="30" r="F1620">
        <v>4</v>
      </c>
      <c t="s" s="30" r="G1620">
        <v>256</v>
      </c>
      <c t="str" s="12" r="H1620">
        <f>HYPERLINK("http://sofifa.com/en/fifa13winter/player/147771-felipe-trevizan-martins","Felipe")</f>
        <v>Felipe</v>
      </c>
      <c s="30" r="I1620">
        <v>72</v>
      </c>
      <c t="s" s="30" r="J1620">
        <v>113</v>
      </c>
      <c t="s" s="30" r="K1620">
        <v>107</v>
      </c>
      <c t="s" s="30" r="L1620">
        <v>179</v>
      </c>
      <c s="30" r="M1620">
        <v>25</v>
      </c>
      <c s="26" r="N1620">
        <v>2.8</v>
      </c>
      <c s="23" r="O1620">
        <v>0.009</v>
      </c>
      <c s="7" r="P1620"/>
      <c s="7" r="Q1620"/>
      <c s="7" r="R1620">
        <f>IF((P1620&gt;0),O1620,0)</f>
        <v>0</v>
      </c>
      <c t="str" r="S1620">
        <f>CONCATENATE(F1620,E1620)</f>
        <v>NON FTLNON FTL</v>
      </c>
    </row>
    <row r="1621">
      <c t="s" s="7" r="A1621">
        <v>201</v>
      </c>
      <c s="7" r="B1621">
        <v>1648</v>
      </c>
      <c s="30" r="C1621">
        <v>22</v>
      </c>
      <c t="s" s="30" r="D1621">
        <v>136</v>
      </c>
      <c t="s" s="30" r="E1621">
        <v>4</v>
      </c>
      <c t="s" s="30" r="F1621">
        <v>4</v>
      </c>
      <c t="s" s="30" r="G1621">
        <v>256</v>
      </c>
      <c t="str" s="12" r="H1621">
        <f>HYPERLINK("http://sofifa.com/en/fifa13winter/player/148681-adrian-nikci","A. Nikci")</f>
        <v>A. Nikci</v>
      </c>
      <c s="30" r="I1621">
        <v>68</v>
      </c>
      <c t="s" s="30" r="J1621">
        <v>120</v>
      </c>
      <c t="s" s="30" r="K1621">
        <v>143</v>
      </c>
      <c t="s" s="30" r="L1621">
        <v>160</v>
      </c>
      <c s="30" r="M1621">
        <v>22</v>
      </c>
      <c s="26" r="N1621">
        <v>1.7</v>
      </c>
      <c s="23" r="O1621">
        <v>0.006</v>
      </c>
      <c s="7" r="P1621"/>
      <c s="7" r="Q1621"/>
      <c s="7" r="R1621">
        <f>IF((P1621&gt;0),O1621,0)</f>
        <v>0</v>
      </c>
      <c t="str" r="S1621">
        <f>CONCATENATE(F1621,E1621)</f>
        <v>NON FTLNON FTL</v>
      </c>
    </row>
    <row r="1622">
      <c t="s" s="7" r="A1622">
        <v>201</v>
      </c>
      <c s="7" r="B1622">
        <v>1649</v>
      </c>
      <c s="30" r="C1622">
        <v>2</v>
      </c>
      <c t="s" s="30" r="D1622">
        <v>136</v>
      </c>
      <c t="s" s="30" r="E1622">
        <v>4</v>
      </c>
      <c t="s" s="30" r="F1622">
        <v>4</v>
      </c>
      <c t="s" s="30" r="G1622">
        <v>256</v>
      </c>
      <c t="str" s="12" r="H1622">
        <f>HYPERLINK("http://sofifa.com/en/fifa13winter/player/146288-leon-andreasen","L. Andreasen")</f>
        <v>L. Andreasen</v>
      </c>
      <c s="30" r="I1622">
        <v>73</v>
      </c>
      <c t="s" s="30" r="J1622">
        <v>154</v>
      </c>
      <c t="s" s="30" r="K1622">
        <v>134</v>
      </c>
      <c t="s" s="30" r="L1622">
        <v>183</v>
      </c>
      <c s="30" r="M1622">
        <v>29</v>
      </c>
      <c s="26" r="N1622">
        <v>2.5</v>
      </c>
      <c s="23" r="O1622">
        <v>0.011</v>
      </c>
      <c s="7" r="P1622"/>
      <c s="7" r="Q1622"/>
      <c s="7" r="R1622">
        <f>IF((P1622&gt;0),O1622,0)</f>
        <v>0</v>
      </c>
      <c t="str" r="S1622">
        <f>CONCATENATE(F1622,E1622)</f>
        <v>NON FTLNON FTL</v>
      </c>
    </row>
    <row r="1623">
      <c t="s" s="7" r="A1623">
        <v>201</v>
      </c>
      <c s="7" r="B1623">
        <v>1650</v>
      </c>
      <c s="30" r="C1623">
        <v>14</v>
      </c>
      <c t="s" s="30" r="D1623">
        <v>136</v>
      </c>
      <c t="s" s="30" r="E1623">
        <v>4</v>
      </c>
      <c t="s" s="30" r="F1623">
        <v>4</v>
      </c>
      <c t="s" s="30" r="G1623">
        <v>256</v>
      </c>
      <c t="str" s="12" r="H1623">
        <f>HYPERLINK("http://sofifa.com/en/fifa13winter/player/145908-markus-miller","M. Miller")</f>
        <v>M. Miller</v>
      </c>
      <c s="30" r="I1623">
        <v>71</v>
      </c>
      <c t="s" s="30" r="J1623">
        <v>106</v>
      </c>
      <c t="s" s="30" r="K1623">
        <v>169</v>
      </c>
      <c t="s" s="30" r="L1623">
        <v>135</v>
      </c>
      <c s="30" r="M1623">
        <v>30</v>
      </c>
      <c s="26" r="N1623">
        <v>1.6</v>
      </c>
      <c s="23" r="O1623">
        <v>0.009</v>
      </c>
      <c s="7" r="P1623"/>
      <c s="7" r="Q1623"/>
      <c s="7" r="R1623">
        <f>IF((P1623&gt;0),O1623,0)</f>
        <v>0</v>
      </c>
      <c t="str" r="S1623">
        <f>CONCATENATE(F1623,E1623)</f>
        <v>NON FTLNON FTL</v>
      </c>
    </row>
    <row r="1624">
      <c t="s" s="7" r="A1624">
        <v>201</v>
      </c>
      <c s="7" r="B1624">
        <v>1651</v>
      </c>
      <c s="30" r="C1624">
        <v>25</v>
      </c>
      <c t="s" s="30" r="D1624">
        <v>136</v>
      </c>
      <c t="s" s="30" r="E1624">
        <v>4</v>
      </c>
      <c t="s" s="30" r="F1624">
        <v>4</v>
      </c>
      <c t="s" s="30" r="G1624">
        <v>256</v>
      </c>
      <c t="str" s="12" r="H1624">
        <f>HYPERLINK("http://sofifa.com/en/fifa13winter/player/147202-mohammed-abdellaoue","M. Abdellaoue")</f>
        <v>M. Abdellaoue</v>
      </c>
      <c s="30" r="I1624">
        <v>79</v>
      </c>
      <c t="s" s="30" r="J1624">
        <v>129</v>
      </c>
      <c t="s" s="30" r="K1624">
        <v>143</v>
      </c>
      <c t="s" s="30" r="L1624">
        <v>193</v>
      </c>
      <c s="30" r="M1624">
        <v>26</v>
      </c>
      <c s="26" r="N1624">
        <v>9.2</v>
      </c>
      <c s="23" r="O1624">
        <v>0.022</v>
      </c>
      <c s="7" r="P1624"/>
      <c s="7" r="Q1624"/>
      <c s="7" r="R1624">
        <f>IF((P1624&gt;0),O1624,0)</f>
        <v>0</v>
      </c>
      <c t="str" r="S1624">
        <f>CONCATENATE(F1624,E1624)</f>
        <v>NON FTLNON FTL</v>
      </c>
    </row>
    <row r="1625">
      <c t="s" s="7" r="A1625">
        <v>201</v>
      </c>
      <c s="7" r="B1625">
        <v>1652</v>
      </c>
      <c s="30" r="C1625">
        <v>10</v>
      </c>
      <c t="s" s="30" r="D1625">
        <v>136</v>
      </c>
      <c t="s" s="30" r="E1625">
        <v>4</v>
      </c>
      <c t="s" s="30" r="F1625">
        <v>4</v>
      </c>
      <c t="s" s="30" r="G1625">
        <v>256</v>
      </c>
      <c t="str" s="12" r="H1625">
        <f>HYPERLINK("http://sofifa.com/en/fifa13winter/player/146283-szabolcs-huszti","S. Huszti")</f>
        <v>S. Huszti</v>
      </c>
      <c s="30" r="I1625">
        <v>78</v>
      </c>
      <c t="s" s="30" r="J1625">
        <v>128</v>
      </c>
      <c t="s" s="30" r="K1625">
        <v>130</v>
      </c>
      <c t="s" s="30" r="L1625">
        <v>146</v>
      </c>
      <c s="30" r="M1625">
        <v>29</v>
      </c>
      <c s="26" r="N1625">
        <v>6</v>
      </c>
      <c s="23" r="O1625">
        <v>0.02</v>
      </c>
      <c s="7" r="P1625"/>
      <c s="7" r="Q1625"/>
      <c s="7" r="R1625">
        <f>IF((P1625&gt;0),O1625,0)</f>
        <v>0</v>
      </c>
      <c t="str" r="S1625">
        <f>CONCATENATE(F1625,E1625)</f>
        <v>NON FTLNON FTL</v>
      </c>
    </row>
    <row r="1626">
      <c t="s" s="7" r="A1626">
        <v>201</v>
      </c>
      <c s="7" r="B1626">
        <v>1653</v>
      </c>
      <c s="30" r="C1626">
        <v>17</v>
      </c>
      <c t="s" s="30" r="D1626">
        <v>136</v>
      </c>
      <c t="s" s="30" r="E1626">
        <v>4</v>
      </c>
      <c t="s" s="30" r="F1626">
        <v>4</v>
      </c>
      <c t="s" s="30" r="G1626">
        <v>256</v>
      </c>
      <c t="str" s="12" r="H1626">
        <f>HYPERLINK("http://sofifa.com/en/fifa13winter/player/147654-johan-djourou","J. Djourou")</f>
        <v>J. Djourou</v>
      </c>
      <c s="30" r="I1626">
        <v>75</v>
      </c>
      <c t="s" s="30" r="J1626">
        <v>113</v>
      </c>
      <c t="s" s="30" r="K1626">
        <v>165</v>
      </c>
      <c t="s" s="30" r="L1626">
        <v>191</v>
      </c>
      <c s="30" r="M1626">
        <v>25</v>
      </c>
      <c s="26" r="N1626">
        <v>4.1</v>
      </c>
      <c s="23" r="O1626">
        <v>0.013</v>
      </c>
      <c s="7" r="P1626"/>
      <c s="7" r="Q1626"/>
      <c s="7" r="R1626">
        <f>IF((P1626&gt;0),O1626,0)</f>
        <v>0</v>
      </c>
      <c t="str" r="S1626">
        <f>CONCATENATE(F1626,E1626)</f>
        <v>NON FTLNON FTL</v>
      </c>
    </row>
    <row r="1627">
      <c t="s" s="7" r="A1627">
        <v>201</v>
      </c>
      <c s="7" r="B1627">
        <v>1654</v>
      </c>
      <c s="30" r="C1627">
        <v>23</v>
      </c>
      <c t="s" s="30" r="D1627">
        <v>147</v>
      </c>
      <c t="s" s="30" r="E1627">
        <v>4</v>
      </c>
      <c t="s" s="30" r="F1627">
        <v>4</v>
      </c>
      <c t="s" s="30" r="G1627">
        <v>256</v>
      </c>
      <c t="str" s="12" r="H1627">
        <f>HYPERLINK("http://sofifa.com/en/fifa13winter/player/146283-sofian-chahed","S. Chahed")</f>
        <v>S. Chahed</v>
      </c>
      <c s="30" r="I1627">
        <v>68</v>
      </c>
      <c t="s" s="30" r="J1627">
        <v>109</v>
      </c>
      <c t="s" s="30" r="K1627">
        <v>118</v>
      </c>
      <c t="s" s="30" r="L1627">
        <v>119</v>
      </c>
      <c s="30" r="M1627">
        <v>29</v>
      </c>
      <c s="26" r="N1627">
        <v>1.3</v>
      </c>
      <c s="23" r="O1627">
        <v>0.006</v>
      </c>
      <c s="7" r="P1627"/>
      <c s="7" r="Q1627"/>
      <c s="7" r="R1627">
        <f>IF((P1627&gt;0),O1627,0)</f>
        <v>0</v>
      </c>
      <c t="str" r="S1627">
        <f>CONCATENATE(F1627,E1627)</f>
        <v>NON FTLNON FTL</v>
      </c>
    </row>
    <row r="1628">
      <c t="s" s="7" r="A1628">
        <v>201</v>
      </c>
      <c s="7" r="B1628">
        <v>1655</v>
      </c>
      <c s="30" r="C1628">
        <v>38</v>
      </c>
      <c t="s" s="30" r="D1628">
        <v>147</v>
      </c>
      <c t="s" s="30" r="E1628">
        <v>4</v>
      </c>
      <c t="s" s="30" r="F1628">
        <v>4</v>
      </c>
      <c t="s" s="30" r="G1628">
        <v>256</v>
      </c>
      <c t="str" s="12" r="H1628">
        <f>HYPERLINK("http://sofifa.com/en/fifa13winter/player/149366-niko-giesselmann","N. Gießelmann")</f>
        <v>N. Gießelmann</v>
      </c>
      <c s="30" r="I1628">
        <v>57</v>
      </c>
      <c t="s" s="30" r="J1628">
        <v>128</v>
      </c>
      <c t="s" s="30" r="K1628">
        <v>150</v>
      </c>
      <c t="s" s="30" r="L1628">
        <v>119</v>
      </c>
      <c s="30" r="M1628">
        <v>20</v>
      </c>
      <c s="26" r="N1628">
        <v>0.2</v>
      </c>
      <c s="23" r="O1628">
        <v>0.002</v>
      </c>
      <c s="7" r="P1628"/>
      <c s="7" r="Q1628"/>
      <c s="7" r="R1628">
        <f>IF((P1628&gt;0),O1628,0)</f>
        <v>0</v>
      </c>
      <c t="str" r="S1628">
        <f>CONCATENATE(F1628,E1628)</f>
        <v>NON FTLNON FTL</v>
      </c>
    </row>
    <row r="1629">
      <c t="s" s="7" r="A1629">
        <v>201</v>
      </c>
      <c s="7" r="B1629">
        <v>1656</v>
      </c>
      <c s="30" r="C1629">
        <v>37</v>
      </c>
      <c t="s" s="30" r="D1629">
        <v>147</v>
      </c>
      <c t="s" s="30" r="E1629">
        <v>4</v>
      </c>
      <c t="s" s="30" r="F1629">
        <v>4</v>
      </c>
      <c t="s" s="30" r="G1629">
        <v>256</v>
      </c>
      <c t="str" s="12" r="H1629">
        <f>HYPERLINK("http://sofifa.com/en/fifa13winter/player/149513-sascha-schunemann","S. Schünemann")</f>
        <v>S. Schünemann</v>
      </c>
      <c s="30" r="I1629">
        <v>56</v>
      </c>
      <c t="s" s="30" r="J1629">
        <v>124</v>
      </c>
      <c t="s" s="30" r="K1629">
        <v>145</v>
      </c>
      <c t="s" s="30" r="L1629">
        <v>146</v>
      </c>
      <c s="30" r="M1629">
        <v>20</v>
      </c>
      <c s="26" r="N1629">
        <v>0.1</v>
      </c>
      <c s="23" r="O1629">
        <v>0.002</v>
      </c>
      <c s="7" r="P1629"/>
      <c s="7" r="Q1629"/>
      <c s="7" r="R1629">
        <f>IF((P1629&gt;0),O1629,0)</f>
        <v>0</v>
      </c>
      <c t="str" r="S1629">
        <f>CONCATENATE(F1629,E1629)</f>
        <v>NON FTLNON FTL</v>
      </c>
    </row>
    <row r="1630">
      <c t="s" s="7" r="A1630">
        <v>201</v>
      </c>
      <c s="7" r="B1630">
        <v>1657</v>
      </c>
      <c s="30" r="C1630">
        <v>33</v>
      </c>
      <c t="s" s="30" r="D1630">
        <v>147</v>
      </c>
      <c t="s" s="30" r="E1630">
        <v>4</v>
      </c>
      <c t="s" s="30" r="F1630">
        <v>4</v>
      </c>
      <c t="s" s="30" r="G1630">
        <v>256</v>
      </c>
      <c t="str" s="12" r="H1630">
        <f>HYPERLINK("http://sofifa.com/en/fifa13winter/player/150594-yannik-schulze","Y. Schulze")</f>
        <v>Y. Schulze</v>
      </c>
      <c s="30" r="I1630">
        <v>56</v>
      </c>
      <c t="s" s="30" r="J1630">
        <v>113</v>
      </c>
      <c t="s" s="30" r="K1630">
        <v>173</v>
      </c>
      <c t="s" s="30" r="L1630">
        <v>138</v>
      </c>
      <c s="30" r="M1630">
        <v>17</v>
      </c>
      <c s="26" r="N1630">
        <v>0.1</v>
      </c>
      <c s="23" r="O1630">
        <v>0.001</v>
      </c>
      <c s="7" r="P1630"/>
      <c s="7" r="Q1630"/>
      <c s="7" r="R1630">
        <f>IF((P1630&gt;0),O1630,0)</f>
        <v>0</v>
      </c>
      <c t="str" r="S1630">
        <f>CONCATENATE(F1630,E1630)</f>
        <v>NON FTLNON FTL</v>
      </c>
    </row>
    <row r="1631">
      <c t="s" s="7" r="A1631">
        <v>201</v>
      </c>
      <c s="7" r="B1631">
        <v>1658</v>
      </c>
      <c s="30" r="C1631">
        <v>16</v>
      </c>
      <c t="s" s="30" r="D1631">
        <v>147</v>
      </c>
      <c t="s" s="30" r="E1631">
        <v>4</v>
      </c>
      <c t="s" s="30" r="F1631">
        <v>4</v>
      </c>
      <c t="s" s="30" r="G1631">
        <v>256</v>
      </c>
      <c t="str" s="12" r="H1631">
        <f>HYPERLINK("http://sofifa.com/en/fifa13winter/player/149208-wellington-wildy-m-dos-santos","França")</f>
        <v>França</v>
      </c>
      <c s="30" r="I1631">
        <v>65</v>
      </c>
      <c t="s" s="30" r="J1631">
        <v>154</v>
      </c>
      <c t="s" s="30" r="K1631">
        <v>143</v>
      </c>
      <c t="s" s="30" r="L1631">
        <v>193</v>
      </c>
      <c s="30" r="M1631">
        <v>21</v>
      </c>
      <c s="26" r="N1631">
        <v>1</v>
      </c>
      <c s="23" r="O1631">
        <v>0.004</v>
      </c>
      <c s="7" r="P1631"/>
      <c s="7" r="Q1631"/>
      <c s="7" r="R1631">
        <f>IF((P1631&gt;0),O1631,0)</f>
        <v>0</v>
      </c>
      <c t="str" r="S1631">
        <f>CONCATENATE(F1631,E1631)</f>
        <v>NON FTLNON FTL</v>
      </c>
    </row>
    <row r="1632">
      <c t="s" s="7" r="A1632">
        <v>201</v>
      </c>
      <c s="7" r="B1632">
        <v>1659</v>
      </c>
      <c s="30" r="C1632">
        <v>3</v>
      </c>
      <c t="s" s="30" r="D1632">
        <v>147</v>
      </c>
      <c t="s" s="30" r="E1632">
        <v>4</v>
      </c>
      <c t="s" s="30" r="F1632">
        <v>4</v>
      </c>
      <c t="s" s="30" r="G1632">
        <v>256</v>
      </c>
      <c t="str" s="12" r="H1632">
        <f>HYPERLINK("http://sofifa.com/en/fifa13winter/player/146560-karim-haggui","K. Haggui")</f>
        <v>K. Haggui</v>
      </c>
      <c s="30" r="I1632">
        <v>75</v>
      </c>
      <c t="s" s="30" r="J1632">
        <v>113</v>
      </c>
      <c t="s" s="30" r="K1632">
        <v>152</v>
      </c>
      <c t="s" s="30" r="L1632">
        <v>180</v>
      </c>
      <c s="30" r="M1632">
        <v>28</v>
      </c>
      <c s="26" r="N1632">
        <v>3.9</v>
      </c>
      <c s="23" r="O1632">
        <v>0.013</v>
      </c>
      <c s="7" r="P1632"/>
      <c s="7" r="Q1632"/>
      <c s="7" r="R1632">
        <f>IF((P1632&gt;0),O1632,0)</f>
        <v>0</v>
      </c>
      <c t="str" r="S1632">
        <f>CONCATENATE(F1632,E1632)</f>
        <v>NON FTLNON FTL</v>
      </c>
    </row>
    <row r="1633">
      <c t="s" s="7" r="A1633">
        <v>201</v>
      </c>
      <c s="7" r="B1633">
        <v>1660</v>
      </c>
      <c s="30" r="C1633">
        <v>26</v>
      </c>
      <c t="s" s="30" r="D1633">
        <v>147</v>
      </c>
      <c t="s" s="30" r="E1633">
        <v>4</v>
      </c>
      <c t="s" s="30" r="F1633">
        <v>4</v>
      </c>
      <c t="s" s="30" r="G1633">
        <v>256</v>
      </c>
      <c t="str" s="12" r="H1633">
        <f>HYPERLINK("http://sofifa.com/en/fifa13winter/player/148888-deniz-aycicek","D. Aycicek")</f>
        <v>D. Aycicek</v>
      </c>
      <c s="30" r="I1633">
        <v>59</v>
      </c>
      <c t="s" s="30" r="J1633">
        <v>162</v>
      </c>
      <c t="s" s="30" r="K1633">
        <v>159</v>
      </c>
      <c t="s" s="30" r="L1633">
        <v>160</v>
      </c>
      <c s="30" r="M1633">
        <v>22</v>
      </c>
      <c s="26" r="N1633">
        <v>0.5</v>
      </c>
      <c s="23" r="O1633">
        <v>0.003</v>
      </c>
      <c s="7" r="P1633"/>
      <c s="7" r="Q1633"/>
      <c s="7" r="R1633">
        <f>IF((P1633&gt;0),O1633,0)</f>
        <v>0</v>
      </c>
      <c t="str" r="S1633">
        <f>CONCATENATE(F1633,E1633)</f>
        <v>NON FTLNON FTL</v>
      </c>
    </row>
    <row r="1634">
      <c t="s" s="7" r="A1634">
        <v>201</v>
      </c>
      <c s="7" r="B1634">
        <v>1661</v>
      </c>
      <c s="30" r="C1634">
        <v>21</v>
      </c>
      <c t="s" s="30" r="D1634">
        <v>147</v>
      </c>
      <c t="s" s="30" r="E1634">
        <v>4</v>
      </c>
      <c t="s" s="30" r="F1634">
        <v>4</v>
      </c>
      <c t="s" s="30" r="G1634">
        <v>256</v>
      </c>
      <c t="str" s="12" r="H1634">
        <f>HYPERLINK("http://sofifa.com/en/fifa13winter/player/149774-samuel-radlinger","S. Radlinger")</f>
        <v>S. Radlinger</v>
      </c>
      <c s="30" r="I1634">
        <v>62</v>
      </c>
      <c t="s" s="30" r="J1634">
        <v>106</v>
      </c>
      <c t="s" s="30" r="K1634">
        <v>198</v>
      </c>
      <c t="s" s="30" r="L1634">
        <v>108</v>
      </c>
      <c s="30" r="M1634">
        <v>19</v>
      </c>
      <c s="26" r="N1634">
        <v>0.6</v>
      </c>
      <c s="23" r="O1634">
        <v>0.003</v>
      </c>
      <c s="7" r="P1634"/>
      <c s="7" r="Q1634"/>
      <c s="7" r="R1634">
        <f>IF((P1634&gt;0),O1634,0)</f>
        <v>0</v>
      </c>
      <c t="str" r="S1634">
        <f>CONCATENATE(F1634,E1634)</f>
        <v>NON FTLNON FTL</v>
      </c>
    </row>
    <row r="1635">
      <c t="s" s="7" r="A1635">
        <v>201</v>
      </c>
      <c s="7" r="B1635">
        <v>1662</v>
      </c>
      <c s="30" r="C1635">
        <v>27</v>
      </c>
      <c t="s" s="30" r="D1635">
        <v>147</v>
      </c>
      <c t="s" s="30" r="E1635">
        <v>4</v>
      </c>
      <c t="s" s="30" r="F1635">
        <v>4</v>
      </c>
      <c t="s" s="30" r="G1635">
        <v>256</v>
      </c>
      <c t="str" s="12" r="H1635">
        <f>HYPERLINK("http://sofifa.com/en/fifa13winter/player/147332-deniz-kadah","D. Kadah")</f>
        <v>D. Kadah</v>
      </c>
      <c s="30" r="I1635">
        <v>59</v>
      </c>
      <c t="s" s="30" r="J1635">
        <v>129</v>
      </c>
      <c t="s" s="30" r="K1635">
        <v>173</v>
      </c>
      <c t="s" s="30" r="L1635">
        <v>161</v>
      </c>
      <c s="30" r="M1635">
        <v>26</v>
      </c>
      <c s="26" r="N1635">
        <v>0.5</v>
      </c>
      <c s="23" r="O1635">
        <v>0.003</v>
      </c>
      <c s="7" r="P1635"/>
      <c s="7" r="Q1635"/>
      <c s="7" r="R1635">
        <f>IF((P1635&gt;0),O1635,0)</f>
        <v>0</v>
      </c>
      <c t="str" r="S1635">
        <f>CONCATENATE(F1635,E1635)</f>
        <v>NON FTLNON FTL</v>
      </c>
    </row>
    <row r="1636">
      <c t="s" s="7" r="A1636">
        <v>201</v>
      </c>
      <c s="7" r="B1636">
        <v>1663</v>
      </c>
      <c s="30" r="C1636">
        <v>30</v>
      </c>
      <c t="s" s="30" r="D1636">
        <v>147</v>
      </c>
      <c t="s" s="30" r="E1636">
        <v>4</v>
      </c>
      <c t="s" s="30" r="F1636">
        <v>4</v>
      </c>
      <c t="s" s="30" r="G1636">
        <v>256</v>
      </c>
      <c t="str" s="12" r="H1636">
        <f>HYPERLINK("http://sofifa.com/en/fifa13winter/player/148564-jannik-lohden","J. Löhden")</f>
        <v>J. Löhden</v>
      </c>
      <c s="30" r="I1636">
        <v>56</v>
      </c>
      <c t="s" s="30" r="J1636">
        <v>113</v>
      </c>
      <c t="s" s="30" r="K1636">
        <v>189</v>
      </c>
      <c t="s" s="30" r="L1636">
        <v>257</v>
      </c>
      <c s="30" r="M1636">
        <v>23</v>
      </c>
      <c s="26" r="N1636">
        <v>0.1</v>
      </c>
      <c s="23" r="O1636">
        <v>0.002</v>
      </c>
      <c s="7" r="P1636"/>
      <c s="7" r="Q1636"/>
      <c s="7" r="R1636">
        <f>IF((P1636&gt;0),O1636,0)</f>
        <v>0</v>
      </c>
      <c t="str" r="S1636">
        <f>CONCATENATE(F1636,E1636)</f>
        <v>NON FTLNON FTL</v>
      </c>
    </row>
    <row r="1637">
      <c t="s" s="7" r="A1637">
        <v>201</v>
      </c>
      <c s="7" r="B1637">
        <v>1664</v>
      </c>
      <c s="30" r="C1637">
        <v>1</v>
      </c>
      <c t="s" s="30" r="D1637">
        <v>106</v>
      </c>
      <c t="s" s="30" r="E1637">
        <v>4</v>
      </c>
      <c t="s" s="30" r="F1637">
        <v>4</v>
      </c>
      <c t="s" s="30" r="G1637">
        <v>258</v>
      </c>
      <c t="str" s="12" r="H1637">
        <f>HYPERLINK("http://sofifa.com/en/fifa13winter/player/148217-sven-ulreich","S. Ulreich")</f>
        <v>S. Ulreich</v>
      </c>
      <c s="30" r="I1637">
        <v>80</v>
      </c>
      <c t="s" s="30" r="J1637">
        <v>106</v>
      </c>
      <c t="s" s="30" r="K1637">
        <v>165</v>
      </c>
      <c t="s" s="30" r="L1637">
        <v>156</v>
      </c>
      <c s="30" r="M1637">
        <v>24</v>
      </c>
      <c s="26" r="N1637">
        <v>8.2</v>
      </c>
      <c s="23" r="O1637">
        <v>0.03</v>
      </c>
      <c s="7" r="P1637"/>
      <c s="7" r="Q1637"/>
      <c s="7" r="R1637">
        <f>IF((P1637&gt;0),O1637,0)</f>
        <v>0</v>
      </c>
      <c t="str" r="S1637">
        <f>CONCATENATE(F1637,E1637)</f>
        <v>NON FTLNON FTL</v>
      </c>
    </row>
    <row r="1638">
      <c t="s" s="7" r="A1638">
        <v>201</v>
      </c>
      <c s="7" r="B1638">
        <v>1665</v>
      </c>
      <c s="30" r="C1638">
        <v>2</v>
      </c>
      <c t="s" s="30" r="D1638">
        <v>109</v>
      </c>
      <c t="s" s="30" r="E1638">
        <v>4</v>
      </c>
      <c t="s" s="30" r="F1638">
        <v>4</v>
      </c>
      <c t="s" s="30" r="G1638">
        <v>258</v>
      </c>
      <c t="str" s="12" r="H1638">
        <f>HYPERLINK("http://sofifa.com/en/fifa13winter/player/149170-gotoku-sakai","G. Sakai")</f>
        <v>G. Sakai</v>
      </c>
      <c s="30" r="I1638">
        <v>74</v>
      </c>
      <c t="s" s="30" r="J1638">
        <v>109</v>
      </c>
      <c t="s" s="30" r="K1638">
        <v>172</v>
      </c>
      <c t="s" s="30" r="L1638">
        <v>160</v>
      </c>
      <c s="30" r="M1638">
        <v>21</v>
      </c>
      <c s="26" r="N1638">
        <v>3.5</v>
      </c>
      <c s="23" r="O1638">
        <v>0.009</v>
      </c>
      <c s="7" r="P1638"/>
      <c s="7" r="Q1638"/>
      <c s="7" r="R1638">
        <f>IF((P1638&gt;0),O1638,0)</f>
        <v>0</v>
      </c>
      <c t="str" r="S1638">
        <f>CONCATENATE(F1638,E1638)</f>
        <v>NON FTLNON FTL</v>
      </c>
    </row>
    <row r="1639">
      <c t="s" s="7" r="A1639">
        <v>201</v>
      </c>
      <c s="7" r="B1639">
        <v>1666</v>
      </c>
      <c s="30" r="C1639">
        <v>5</v>
      </c>
      <c t="s" s="30" r="D1639">
        <v>112</v>
      </c>
      <c t="s" s="30" r="E1639">
        <v>4</v>
      </c>
      <c t="s" s="30" r="F1639">
        <v>4</v>
      </c>
      <c t="s" s="30" r="G1639">
        <v>258</v>
      </c>
      <c t="str" s="12" r="H1639">
        <f>HYPERLINK("http://sofifa.com/en/fifa13winter/player/147750-serdar-tasci","S. Tasci")</f>
        <v>S. Tasci</v>
      </c>
      <c s="30" r="I1639">
        <v>78</v>
      </c>
      <c t="s" s="30" r="J1639">
        <v>113</v>
      </c>
      <c t="s" s="30" r="K1639">
        <v>173</v>
      </c>
      <c t="s" s="30" r="L1639">
        <v>153</v>
      </c>
      <c s="30" r="M1639">
        <v>25</v>
      </c>
      <c s="26" r="N1639">
        <v>6.4</v>
      </c>
      <c s="23" r="O1639">
        <v>0.019</v>
      </c>
      <c s="7" r="P1639"/>
      <c s="7" r="Q1639"/>
      <c s="7" r="R1639">
        <f>IF((P1639&gt;0),O1639,0)</f>
        <v>0</v>
      </c>
      <c t="str" r="S1639">
        <f>CONCATENATE(F1639,E1639)</f>
        <v>NON FTLNON FTL</v>
      </c>
    </row>
    <row r="1640">
      <c t="s" s="7" r="A1640">
        <v>201</v>
      </c>
      <c s="7" r="B1640">
        <v>1667</v>
      </c>
      <c s="30" r="C1640">
        <v>6</v>
      </c>
      <c t="s" s="30" r="D1640">
        <v>116</v>
      </c>
      <c t="s" s="30" r="E1640">
        <v>4</v>
      </c>
      <c t="s" s="30" r="F1640">
        <v>4</v>
      </c>
      <c t="s" s="30" r="G1640">
        <v>258</v>
      </c>
      <c t="str" s="12" r="H1640">
        <f>HYPERLINK("http://sofifa.com/en/fifa13winter/player/147328-georg-niedermeier","G. Niedermeier")</f>
        <v>G. Niedermeier</v>
      </c>
      <c s="30" r="I1640">
        <v>75</v>
      </c>
      <c t="s" s="30" r="J1640">
        <v>113</v>
      </c>
      <c t="s" s="30" r="K1640">
        <v>152</v>
      </c>
      <c t="s" s="30" r="L1640">
        <v>153</v>
      </c>
      <c s="30" r="M1640">
        <v>26</v>
      </c>
      <c s="26" r="N1640">
        <v>4</v>
      </c>
      <c s="23" r="O1640">
        <v>0.013</v>
      </c>
      <c s="7" r="P1640"/>
      <c s="7" r="Q1640"/>
      <c s="7" r="R1640">
        <f>IF((P1640&gt;0),O1640,0)</f>
        <v>0</v>
      </c>
      <c t="str" r="S1640">
        <f>CONCATENATE(F1640,E1640)</f>
        <v>NON FTLNON FTL</v>
      </c>
    </row>
    <row r="1641">
      <c t="s" s="7" r="A1641">
        <v>201</v>
      </c>
      <c s="7" r="B1641">
        <v>1668</v>
      </c>
      <c s="30" r="C1641">
        <v>21</v>
      </c>
      <c t="s" s="30" r="D1641">
        <v>117</v>
      </c>
      <c t="s" s="30" r="E1641">
        <v>4</v>
      </c>
      <c t="s" s="30" r="F1641">
        <v>4</v>
      </c>
      <c t="s" s="30" r="G1641">
        <v>258</v>
      </c>
      <c t="str" s="12" r="H1641">
        <f>HYPERLINK("http://sofifa.com/en/fifa13winter/player/146386-cristian-molinaro","C. Molinaro")</f>
        <v>C. Molinaro</v>
      </c>
      <c s="30" r="I1641">
        <v>73</v>
      </c>
      <c t="s" s="30" r="J1641">
        <v>117</v>
      </c>
      <c t="s" s="30" r="K1641">
        <v>143</v>
      </c>
      <c t="s" s="30" r="L1641">
        <v>193</v>
      </c>
      <c s="30" r="M1641">
        <v>29</v>
      </c>
      <c s="26" r="N1641">
        <v>2.5</v>
      </c>
      <c s="23" r="O1641">
        <v>0.011</v>
      </c>
      <c s="7" r="P1641"/>
      <c s="7" r="Q1641"/>
      <c s="7" r="R1641">
        <f>IF((P1641&gt;0),O1641,0)</f>
        <v>0</v>
      </c>
      <c t="str" r="S1641">
        <f>CONCATENATE(F1641,E1641)</f>
        <v>NON FTLNON FTL</v>
      </c>
    </row>
    <row r="1642">
      <c t="s" s="7" r="A1642">
        <v>201</v>
      </c>
      <c s="7" r="B1642">
        <v>1669</v>
      </c>
      <c s="30" r="C1642">
        <v>20</v>
      </c>
      <c t="s" s="30" r="D1642">
        <v>186</v>
      </c>
      <c t="s" s="30" r="E1642">
        <v>4</v>
      </c>
      <c t="s" s="30" r="F1642">
        <v>4</v>
      </c>
      <c t="s" s="30" r="G1642">
        <v>258</v>
      </c>
      <c t="str" s="12" r="H1642">
        <f>HYPERLINK("http://sofifa.com/en/fifa13winter/player/147132-christian-gentner","C. Gentner")</f>
        <v>C. Gentner</v>
      </c>
      <c s="30" r="I1642">
        <v>76</v>
      </c>
      <c t="s" s="30" r="J1642">
        <v>124</v>
      </c>
      <c t="s" s="30" r="K1642">
        <v>169</v>
      </c>
      <c t="s" s="30" r="L1642">
        <v>183</v>
      </c>
      <c s="30" r="M1642">
        <v>27</v>
      </c>
      <c s="26" r="N1642">
        <v>4.7</v>
      </c>
      <c s="23" r="O1642">
        <v>0.015</v>
      </c>
      <c s="7" r="P1642"/>
      <c s="7" r="Q1642"/>
      <c s="7" r="R1642">
        <f>IF((P1642&gt;0),O1642,0)</f>
        <v>0</v>
      </c>
      <c t="str" r="S1642">
        <f>CONCATENATE(F1642,E1642)</f>
        <v>NON FTLNON FTL</v>
      </c>
    </row>
    <row r="1643">
      <c t="s" s="7" r="A1643">
        <v>201</v>
      </c>
      <c s="7" r="B1643">
        <v>1670</v>
      </c>
      <c s="30" r="C1643">
        <v>15</v>
      </c>
      <c t="s" s="30" r="D1643">
        <v>174</v>
      </c>
      <c t="s" s="30" r="E1643">
        <v>4</v>
      </c>
      <c t="s" s="30" r="F1643">
        <v>4</v>
      </c>
      <c t="s" s="30" r="G1643">
        <v>258</v>
      </c>
      <c t="str" s="12" r="H1643">
        <f>HYPERLINK("http://sofifa.com/en/fifa13winter/player/146267-arthur-boka","A. Boka")</f>
        <v>A. Boka</v>
      </c>
      <c s="30" r="I1643">
        <v>74</v>
      </c>
      <c t="s" s="30" r="J1643">
        <v>117</v>
      </c>
      <c t="s" s="30" r="K1643">
        <v>219</v>
      </c>
      <c t="s" s="30" r="L1643">
        <v>163</v>
      </c>
      <c s="30" r="M1643">
        <v>29</v>
      </c>
      <c s="26" r="N1643">
        <v>2.8</v>
      </c>
      <c s="23" r="O1643">
        <v>0.012</v>
      </c>
      <c s="7" r="P1643"/>
      <c s="7" r="Q1643"/>
      <c s="7" r="R1643">
        <f>IF((P1643&gt;0),O1643,0)</f>
        <v>0</v>
      </c>
      <c t="str" r="S1643">
        <f>CONCATENATE(F1643,E1643)</f>
        <v>NON FTLNON FTL</v>
      </c>
    </row>
    <row r="1644">
      <c t="s" s="7" r="A1644">
        <v>201</v>
      </c>
      <c s="7" r="B1644">
        <v>1671</v>
      </c>
      <c s="30" r="C1644">
        <v>7</v>
      </c>
      <c t="s" s="30" r="D1644">
        <v>120</v>
      </c>
      <c t="s" s="30" r="E1644">
        <v>4</v>
      </c>
      <c t="s" s="30" r="F1644">
        <v>4</v>
      </c>
      <c t="s" s="30" r="G1644">
        <v>258</v>
      </c>
      <c t="str" s="12" r="H1644">
        <f>HYPERLINK("http://sofifa.com/en/fifa13winter/player/147797-martin-harnik","M. Harnik")</f>
        <v>M. Harnik</v>
      </c>
      <c s="30" r="I1644">
        <v>78</v>
      </c>
      <c t="s" s="30" r="J1644">
        <v>157</v>
      </c>
      <c t="s" s="30" r="K1644">
        <v>132</v>
      </c>
      <c t="s" s="30" r="L1644">
        <v>151</v>
      </c>
      <c s="30" r="M1644">
        <v>25</v>
      </c>
      <c s="26" r="N1644">
        <v>7.1</v>
      </c>
      <c s="23" r="O1644">
        <v>0.019</v>
      </c>
      <c s="7" r="P1644"/>
      <c s="7" r="Q1644"/>
      <c s="7" r="R1644">
        <f>IF((P1644&gt;0),O1644,0)</f>
        <v>0</v>
      </c>
      <c t="str" r="S1644">
        <f>CONCATENATE(F1644,E1644)</f>
        <v>NON FTLNON FTL</v>
      </c>
    </row>
    <row r="1645">
      <c t="s" s="7" r="A1645">
        <v>201</v>
      </c>
      <c s="7" r="B1645">
        <v>1672</v>
      </c>
      <c s="30" r="C1645">
        <v>16</v>
      </c>
      <c t="s" s="30" r="D1645">
        <v>128</v>
      </c>
      <c t="s" s="30" r="E1645">
        <v>4</v>
      </c>
      <c t="s" s="30" r="F1645">
        <v>4</v>
      </c>
      <c t="s" s="30" r="G1645">
        <v>258</v>
      </c>
      <c t="str" s="12" r="H1645">
        <f>HYPERLINK("http://sofifa.com/en/fifa13winter/player/148113-ibrahima-traore","I. Traoré")</f>
        <v>I. Traoré</v>
      </c>
      <c s="30" r="I1645">
        <v>76</v>
      </c>
      <c t="s" s="30" r="J1645">
        <v>128</v>
      </c>
      <c t="s" s="30" r="K1645">
        <v>121</v>
      </c>
      <c t="s" s="30" r="L1645">
        <v>140</v>
      </c>
      <c s="30" r="M1645">
        <v>24</v>
      </c>
      <c s="26" r="N1645">
        <v>6.3</v>
      </c>
      <c s="23" r="O1645">
        <v>0.015</v>
      </c>
      <c s="7" r="P1645"/>
      <c s="7" r="Q1645"/>
      <c s="7" r="R1645">
        <f>IF((P1645&gt;0),O1645,0)</f>
        <v>0</v>
      </c>
      <c t="str" r="S1645">
        <f>CONCATENATE(F1645,E1645)</f>
        <v>NON FTLNON FTL</v>
      </c>
    </row>
    <row r="1646">
      <c t="s" s="7" r="A1646">
        <v>201</v>
      </c>
      <c s="7" r="B1646">
        <v>1673</v>
      </c>
      <c s="30" r="C1646">
        <v>44</v>
      </c>
      <c t="s" s="30" r="D1646">
        <v>162</v>
      </c>
      <c t="s" s="30" r="E1646">
        <v>4</v>
      </c>
      <c t="s" s="30" r="F1646">
        <v>4</v>
      </c>
      <c t="s" s="30" r="G1646">
        <v>258</v>
      </c>
      <c t="str" s="12" r="H1646">
        <f>HYPERLINK("http://sofifa.com/en/fifa13winter/player/148921-alexandru-maxim","A. Maxim")</f>
        <v>A. Maxim</v>
      </c>
      <c s="30" r="I1646">
        <v>72</v>
      </c>
      <c t="s" s="30" r="J1646">
        <v>162</v>
      </c>
      <c t="s" s="30" r="K1646">
        <v>118</v>
      </c>
      <c t="s" s="30" r="L1646">
        <v>119</v>
      </c>
      <c s="30" r="M1646">
        <v>22</v>
      </c>
      <c s="26" r="N1646">
        <v>3.2</v>
      </c>
      <c s="23" r="O1646">
        <v>0.008</v>
      </c>
      <c s="7" r="P1646"/>
      <c s="7" r="Q1646"/>
      <c s="7" r="R1646">
        <f>IF((P1646&gt;0),O1646,0)</f>
        <v>0</v>
      </c>
      <c t="str" r="S1646">
        <f>CONCATENATE(F1646,E1646)</f>
        <v>NON FTLNON FTL</v>
      </c>
    </row>
    <row r="1647">
      <c t="s" s="7" r="A1647">
        <v>201</v>
      </c>
      <c s="7" r="B1647">
        <v>1674</v>
      </c>
      <c s="30" r="C1647">
        <v>9</v>
      </c>
      <c t="s" s="30" r="D1647">
        <v>129</v>
      </c>
      <c t="s" s="30" r="E1647">
        <v>4</v>
      </c>
      <c t="s" s="30" r="F1647">
        <v>4</v>
      </c>
      <c t="s" s="30" r="G1647">
        <v>258</v>
      </c>
      <c t="str" s="12" r="H1647">
        <f>HYPERLINK("http://sofifa.com/en/fifa13winter/player/146759-vedad-ibisevic","V. Ibišević")</f>
        <v>V. Ibišević</v>
      </c>
      <c s="30" r="I1647">
        <v>79</v>
      </c>
      <c t="s" s="30" r="J1647">
        <v>129</v>
      </c>
      <c t="s" s="30" r="K1647">
        <v>134</v>
      </c>
      <c t="s" s="30" r="L1647">
        <v>193</v>
      </c>
      <c s="30" r="M1647">
        <v>28</v>
      </c>
      <c s="26" r="N1647">
        <v>8.7</v>
      </c>
      <c s="23" r="O1647">
        <v>0.023</v>
      </c>
      <c s="7" r="P1647"/>
      <c s="7" r="Q1647"/>
      <c s="7" r="R1647">
        <f>IF((P1647&gt;0),O1647,0)</f>
        <v>0</v>
      </c>
      <c t="str" r="S1647">
        <f>CONCATENATE(F1647,E1647)</f>
        <v>NON FTLNON FTL</v>
      </c>
    </row>
    <row r="1648">
      <c t="s" s="7" r="A1648">
        <v>201</v>
      </c>
      <c s="7" r="B1648">
        <v>1675</v>
      </c>
      <c s="30" r="C1648">
        <v>23</v>
      </c>
      <c t="s" s="30" r="D1648">
        <v>136</v>
      </c>
      <c t="s" s="30" r="E1648">
        <v>4</v>
      </c>
      <c t="s" s="30" r="F1648">
        <v>4</v>
      </c>
      <c t="s" s="30" r="G1648">
        <v>258</v>
      </c>
      <c t="str" s="12" r="H1648">
        <f>HYPERLINK("http://sofifa.com/en/fifa13winter/player/147068-tim-hoogland","T. Hoogland")</f>
        <v>T. Hoogland</v>
      </c>
      <c s="30" r="I1648">
        <v>70</v>
      </c>
      <c t="s" s="30" r="J1648">
        <v>109</v>
      </c>
      <c t="s" s="30" r="K1648">
        <v>110</v>
      </c>
      <c t="s" s="30" r="L1648">
        <v>183</v>
      </c>
      <c s="30" r="M1648">
        <v>27</v>
      </c>
      <c s="26" r="N1648">
        <v>1.7</v>
      </c>
      <c s="23" r="O1648">
        <v>0.007</v>
      </c>
      <c s="7" r="P1648"/>
      <c s="7" r="Q1648"/>
      <c s="7" r="R1648">
        <f>IF((P1648&gt;0),O1648,0)</f>
        <v>0</v>
      </c>
      <c t="str" r="S1648">
        <f>CONCATENATE(F1648,E1648)</f>
        <v>NON FTLNON FTL</v>
      </c>
    </row>
    <row r="1649">
      <c t="s" s="7" r="A1649">
        <v>201</v>
      </c>
      <c s="7" r="B1649">
        <v>1676</v>
      </c>
      <c s="30" r="C1649">
        <v>26</v>
      </c>
      <c t="s" s="30" r="D1649">
        <v>136</v>
      </c>
      <c t="s" s="30" r="E1649">
        <v>4</v>
      </c>
      <c t="s" s="30" r="F1649">
        <v>4</v>
      </c>
      <c t="s" s="30" r="G1649">
        <v>258</v>
      </c>
      <c t="str" s="12" r="H1649">
        <f>HYPERLINK("http://sofifa.com/en/fifa13winter/player/149875-raphael-holzhauser","R. Holzhauser")</f>
        <v>R. Holzhauser</v>
      </c>
      <c s="30" r="I1649">
        <v>69</v>
      </c>
      <c t="s" s="30" r="J1649">
        <v>124</v>
      </c>
      <c t="s" s="30" r="K1649">
        <v>107</v>
      </c>
      <c t="s" s="30" r="L1649">
        <v>179</v>
      </c>
      <c s="30" r="M1649">
        <v>19</v>
      </c>
      <c s="26" r="N1649">
        <v>2</v>
      </c>
      <c s="23" r="O1649">
        <v>0.005</v>
      </c>
      <c s="7" r="P1649"/>
      <c s="7" r="Q1649"/>
      <c s="7" r="R1649">
        <f>IF((P1649&gt;0),O1649,0)</f>
        <v>0</v>
      </c>
      <c t="str" r="S1649">
        <f>CONCATENATE(F1649,E1649)</f>
        <v>NON FTLNON FTL</v>
      </c>
    </row>
    <row r="1650">
      <c t="s" s="7" r="A1650">
        <v>201</v>
      </c>
      <c s="7" r="B1650">
        <v>1677</v>
      </c>
      <c s="30" r="C1650">
        <v>24</v>
      </c>
      <c t="s" s="30" r="D1650">
        <v>136</v>
      </c>
      <c t="s" s="30" r="E1650">
        <v>4</v>
      </c>
      <c t="s" s="30" r="F1650">
        <v>4</v>
      </c>
      <c t="s" s="30" r="G1650">
        <v>258</v>
      </c>
      <c t="str" s="12" r="H1650">
        <f>HYPERLINK("http://sofifa.com/en/fifa13winter/player/149890-antonio-rudiger","A. Rüdiger")</f>
        <v>A. Rüdiger</v>
      </c>
      <c s="30" r="I1650">
        <v>67</v>
      </c>
      <c t="s" s="30" r="J1650">
        <v>109</v>
      </c>
      <c t="s" s="30" r="K1650">
        <v>152</v>
      </c>
      <c t="s" s="30" r="L1650">
        <v>179</v>
      </c>
      <c s="30" r="M1650">
        <v>19</v>
      </c>
      <c s="26" r="N1650">
        <v>1.4</v>
      </c>
      <c s="23" r="O1650">
        <v>0.004</v>
      </c>
      <c s="7" r="P1650"/>
      <c s="7" r="Q1650"/>
      <c s="7" r="R1650">
        <f>IF((P1650&gt;0),O1650,0)</f>
        <v>0</v>
      </c>
      <c t="str" r="S1650">
        <f>CONCATENATE(F1650,E1650)</f>
        <v>NON FTLNON FTL</v>
      </c>
    </row>
    <row r="1651">
      <c t="s" s="7" r="A1651">
        <v>201</v>
      </c>
      <c s="7" r="B1651">
        <v>1678</v>
      </c>
      <c s="30" r="C1651">
        <v>31</v>
      </c>
      <c t="s" s="30" r="D1651">
        <v>136</v>
      </c>
      <c t="s" s="30" r="E1651">
        <v>4</v>
      </c>
      <c t="s" s="30" r="F1651">
        <v>4</v>
      </c>
      <c t="s" s="30" r="G1651">
        <v>258</v>
      </c>
      <c t="str" s="12" r="H1651">
        <f>HYPERLINK("http://sofifa.com/en/fifa13winter/player/147377-shinji-okazaki","S. Okazaki")</f>
        <v>S. Okazaki</v>
      </c>
      <c s="30" r="I1651">
        <v>75</v>
      </c>
      <c t="s" s="30" r="J1651">
        <v>128</v>
      </c>
      <c t="s" s="30" r="K1651">
        <v>182</v>
      </c>
      <c t="s" s="30" r="L1651">
        <v>137</v>
      </c>
      <c s="30" r="M1651">
        <v>26</v>
      </c>
      <c s="26" r="N1651">
        <v>4.3</v>
      </c>
      <c s="23" r="O1651">
        <v>0.013</v>
      </c>
      <c s="7" r="P1651"/>
      <c s="7" r="Q1651"/>
      <c s="7" r="R1651">
        <f>IF((P1651&gt;0),O1651,0)</f>
        <v>0</v>
      </c>
      <c t="str" r="S1651">
        <f>CONCATENATE(F1651,E1651)</f>
        <v>NON FTLNON FTL</v>
      </c>
    </row>
    <row r="1652">
      <c t="s" s="7" r="A1652">
        <v>201</v>
      </c>
      <c s="7" r="B1652">
        <v>1679</v>
      </c>
      <c s="30" r="C1652">
        <v>18</v>
      </c>
      <c t="s" s="30" r="D1652">
        <v>136</v>
      </c>
      <c t="s" s="30" r="E1652">
        <v>4</v>
      </c>
      <c t="s" s="30" r="F1652">
        <v>4</v>
      </c>
      <c t="s" s="30" r="G1652">
        <v>258</v>
      </c>
      <c t="str" s="12" r="H1652">
        <f>HYPERLINK("http://sofifa.com/en/fifa13winter/player/145531-claudemir-jeronimo-barreto","Cacau")</f>
        <v>Cacau</v>
      </c>
      <c s="30" r="I1652">
        <v>77</v>
      </c>
      <c t="s" s="30" r="J1652">
        <v>129</v>
      </c>
      <c t="s" s="30" r="K1652">
        <v>145</v>
      </c>
      <c t="s" s="30" r="L1652">
        <v>160</v>
      </c>
      <c s="30" r="M1652">
        <v>31</v>
      </c>
      <c s="26" r="N1652">
        <v>5.4</v>
      </c>
      <c s="23" r="O1652">
        <v>0.019</v>
      </c>
      <c s="7" r="P1652"/>
      <c s="7" r="Q1652"/>
      <c s="7" r="R1652">
        <f>IF((P1652&gt;0),O1652,0)</f>
        <v>0</v>
      </c>
      <c t="str" r="S1652">
        <f>CONCATENATE(F1652,E1652)</f>
        <v>NON FTLNON FTL</v>
      </c>
    </row>
    <row r="1653">
      <c t="s" s="7" r="A1653">
        <v>201</v>
      </c>
      <c s="7" r="B1653">
        <v>1680</v>
      </c>
      <c s="30" r="C1653">
        <v>17</v>
      </c>
      <c t="s" s="30" r="D1653">
        <v>136</v>
      </c>
      <c t="s" s="30" r="E1653">
        <v>4</v>
      </c>
      <c t="s" s="30" r="F1653">
        <v>4</v>
      </c>
      <c t="s" s="30" r="G1653">
        <v>258</v>
      </c>
      <c t="str" s="12" r="H1653">
        <f>HYPERLINK("http://sofifa.com/en/fifa13winter/player/148843-tunay-torun","T. Torun")</f>
        <v>T. Torun</v>
      </c>
      <c s="30" r="I1653">
        <v>69</v>
      </c>
      <c t="s" s="30" r="J1653">
        <v>171</v>
      </c>
      <c t="s" s="30" r="K1653">
        <v>172</v>
      </c>
      <c t="s" s="30" r="L1653">
        <v>151</v>
      </c>
      <c s="30" r="M1653">
        <v>22</v>
      </c>
      <c s="26" r="N1653">
        <v>2.2</v>
      </c>
      <c s="23" r="O1653">
        <v>0.006</v>
      </c>
      <c s="7" r="P1653"/>
      <c s="7" r="Q1653"/>
      <c s="7" r="R1653">
        <f>IF((P1653&gt;0),O1653,0)</f>
        <v>0</v>
      </c>
      <c t="str" r="S1653">
        <f>CONCATENATE(F1653,E1653)</f>
        <v>NON FTLNON FTL</v>
      </c>
    </row>
    <row r="1654">
      <c t="s" s="7" r="A1654">
        <v>201</v>
      </c>
      <c s="7" r="B1654">
        <v>1681</v>
      </c>
      <c s="30" r="C1654">
        <v>22</v>
      </c>
      <c t="s" s="30" r="D1654">
        <v>136</v>
      </c>
      <c t="s" s="30" r="E1654">
        <v>4</v>
      </c>
      <c t="s" s="30" r="F1654">
        <v>4</v>
      </c>
      <c t="s" s="30" r="G1654">
        <v>258</v>
      </c>
      <c t="str" s="12" r="H1654">
        <f>HYPERLINK("http://sofifa.com/en/fifa13winter/player/143783-marc-ziegler","M. Ziegler")</f>
        <v>M. Ziegler</v>
      </c>
      <c s="30" r="I1654">
        <v>70</v>
      </c>
      <c t="s" s="30" r="J1654">
        <v>106</v>
      </c>
      <c t="s" s="30" r="K1654">
        <v>107</v>
      </c>
      <c t="s" s="30" r="L1654">
        <v>135</v>
      </c>
      <c s="30" r="M1654">
        <v>36</v>
      </c>
      <c s="26" r="N1654">
        <v>0.8</v>
      </c>
      <c s="23" r="O1654">
        <v>0.009</v>
      </c>
      <c s="7" r="P1654"/>
      <c s="7" r="Q1654"/>
      <c s="7" r="R1654">
        <f>IF((P1654&gt;0),O1654,0)</f>
        <v>0</v>
      </c>
      <c t="str" r="S1654">
        <f>CONCATENATE(F1654,E1654)</f>
        <v>NON FTLNON FTL</v>
      </c>
    </row>
    <row r="1655">
      <c t="s" s="7" r="A1655">
        <v>201</v>
      </c>
      <c s="7" r="B1655">
        <v>1682</v>
      </c>
      <c s="30" r="C1655">
        <v>11</v>
      </c>
      <c t="s" s="30" r="D1655">
        <v>136</v>
      </c>
      <c t="s" s="30" r="E1655">
        <v>4</v>
      </c>
      <c t="s" s="30" r="F1655">
        <v>4</v>
      </c>
      <c t="s" s="30" r="G1655">
        <v>258</v>
      </c>
      <c t="str" s="12" r="H1655">
        <f>HYPERLINK("http://sofifa.com/en/fifa13winter/player/146521-johan-audel","J. Audel")</f>
        <v>J. Audel</v>
      </c>
      <c s="30" r="I1655">
        <v>72</v>
      </c>
      <c t="s" s="30" r="J1655">
        <v>128</v>
      </c>
      <c t="s" s="30" r="K1655">
        <v>114</v>
      </c>
      <c t="s" s="30" r="L1655">
        <v>151</v>
      </c>
      <c s="30" r="M1655">
        <v>28</v>
      </c>
      <c s="26" r="N1655">
        <v>2.6</v>
      </c>
      <c s="23" r="O1655">
        <v>0.009</v>
      </c>
      <c s="7" r="P1655"/>
      <c s="7" r="Q1655"/>
      <c s="7" r="R1655">
        <f>IF((P1655&gt;0),O1655,0)</f>
        <v>0</v>
      </c>
      <c t="str" r="S1655">
        <f>CONCATENATE(F1655,E1655)</f>
        <v>NON FTLNON FTL</v>
      </c>
    </row>
    <row r="1656">
      <c t="s" s="7" r="A1656">
        <v>201</v>
      </c>
      <c s="7" r="B1656">
        <v>1683</v>
      </c>
      <c s="30" r="C1656">
        <v>3</v>
      </c>
      <c t="s" s="30" r="D1656">
        <v>136</v>
      </c>
      <c t="s" s="30" r="E1656">
        <v>4</v>
      </c>
      <c t="s" s="30" r="F1656">
        <v>4</v>
      </c>
      <c t="s" s="30" r="G1656">
        <v>258</v>
      </c>
      <c t="str" s="12" r="H1656">
        <f>HYPERLINK("http://sofifa.com/en/fifa13winter/player/147855-felipe-aliste-lopes","Felipe")</f>
        <v>Felipe</v>
      </c>
      <c s="30" r="I1656">
        <v>73</v>
      </c>
      <c t="s" s="30" r="J1656">
        <v>113</v>
      </c>
      <c t="s" s="30" r="K1656">
        <v>134</v>
      </c>
      <c t="s" s="30" r="L1656">
        <v>158</v>
      </c>
      <c s="30" r="M1656">
        <v>25</v>
      </c>
      <c s="26" r="N1656">
        <v>3.2</v>
      </c>
      <c s="23" r="O1656">
        <v>0.01</v>
      </c>
      <c s="7" r="P1656"/>
      <c s="7" r="Q1656"/>
      <c s="7" r="R1656">
        <f>IF((P1656&gt;0),O1656,0)</f>
        <v>0</v>
      </c>
      <c t="str" r="S1656">
        <f>CONCATENATE(F1656,E1656)</f>
        <v>NON FTLNON FTL</v>
      </c>
    </row>
    <row r="1657">
      <c t="s" s="7" r="A1657">
        <v>201</v>
      </c>
      <c s="7" r="B1657">
        <v>1684</v>
      </c>
      <c s="30" r="C1657">
        <v>30</v>
      </c>
      <c t="s" s="30" r="D1657">
        <v>136</v>
      </c>
      <c t="s" s="30" r="E1657">
        <v>4</v>
      </c>
      <c t="s" s="30" r="F1657">
        <v>4</v>
      </c>
      <c t="s" s="30" r="G1657">
        <v>258</v>
      </c>
      <c t="str" s="12" r="H1657">
        <f>HYPERLINK("http://sofifa.com/en/fifa13winter/player/145519-tamas-hajnal","T. Hajnal")</f>
        <v>T. Hajnal</v>
      </c>
      <c s="30" r="I1657">
        <v>74</v>
      </c>
      <c t="s" s="30" r="J1657">
        <v>162</v>
      </c>
      <c t="s" s="30" r="K1657">
        <v>148</v>
      </c>
      <c t="s" s="30" r="L1657">
        <v>163</v>
      </c>
      <c s="30" r="M1657">
        <v>31</v>
      </c>
      <c s="26" r="N1657">
        <v>3.1</v>
      </c>
      <c s="23" r="O1657">
        <v>0.012</v>
      </c>
      <c s="7" r="P1657"/>
      <c s="7" r="Q1657"/>
      <c s="7" r="R1657">
        <f>IF((P1657&gt;0),O1657,0)</f>
        <v>0</v>
      </c>
      <c t="str" r="S1657">
        <f>CONCATENATE(F1657,E1657)</f>
        <v>NON FTLNON FTL</v>
      </c>
    </row>
    <row r="1658">
      <c t="s" s="7" r="A1658">
        <v>201</v>
      </c>
      <c s="7" r="B1658">
        <v>1685</v>
      </c>
      <c s="30" r="C1658">
        <v>4</v>
      </c>
      <c t="s" s="30" r="D1658">
        <v>136</v>
      </c>
      <c t="s" s="30" r="E1658">
        <v>4</v>
      </c>
      <c t="s" s="30" r="F1658">
        <v>4</v>
      </c>
      <c t="s" s="30" r="G1658">
        <v>258</v>
      </c>
      <c t="str" s="12" r="H1658">
        <f>HYPERLINK("http://sofifa.com/en/fifa13winter/player/146961-william-kvist","W. Kvist")</f>
        <v>W. Kvist</v>
      </c>
      <c s="30" r="I1658">
        <v>78</v>
      </c>
      <c t="s" s="30" r="J1658">
        <v>154</v>
      </c>
      <c t="s" s="30" r="K1658">
        <v>167</v>
      </c>
      <c t="s" s="30" r="L1658">
        <v>151</v>
      </c>
      <c s="30" r="M1658">
        <v>27</v>
      </c>
      <c s="26" r="N1658">
        <v>6.3</v>
      </c>
      <c s="23" r="O1658">
        <v>0.019</v>
      </c>
      <c s="7" r="P1658"/>
      <c s="7" r="Q1658"/>
      <c s="7" r="R1658">
        <f>IF((P1658&gt;0),O1658,0)</f>
        <v>0</v>
      </c>
      <c t="str" r="S1658">
        <f>CONCATENATE(F1658,E1658)</f>
        <v>NON FTLNON FTL</v>
      </c>
    </row>
    <row r="1659">
      <c t="s" s="7" r="A1659">
        <v>201</v>
      </c>
      <c s="7" r="B1659">
        <v>1686</v>
      </c>
      <c s="30" r="C1659">
        <v>29</v>
      </c>
      <c t="s" s="30" r="D1659">
        <v>136</v>
      </c>
      <c t="s" s="30" r="E1659">
        <v>4</v>
      </c>
      <c t="s" s="30" r="F1659">
        <v>4</v>
      </c>
      <c t="s" s="30" r="G1659">
        <v>258</v>
      </c>
      <c t="str" s="12" r="H1659">
        <f>HYPERLINK("http://sofifa.com/en/fifa13winter/player/148793-soufian-benyamina","S. Benyamina")</f>
        <v>S. Benyamina</v>
      </c>
      <c s="30" r="I1659">
        <v>61</v>
      </c>
      <c t="s" s="30" r="J1659">
        <v>129</v>
      </c>
      <c t="s" s="30" r="K1659">
        <v>169</v>
      </c>
      <c t="s" s="30" r="L1659">
        <v>161</v>
      </c>
      <c s="30" r="M1659">
        <v>22</v>
      </c>
      <c s="26" r="N1659">
        <v>0.7</v>
      </c>
      <c s="23" r="O1659">
        <v>0.003</v>
      </c>
      <c s="7" r="P1659"/>
      <c s="7" r="Q1659"/>
      <c s="7" r="R1659">
        <f>IF((P1659&gt;0),O1659,0)</f>
        <v>0</v>
      </c>
      <c t="str" r="S1659">
        <f>CONCATENATE(F1659,E1659)</f>
        <v>NON FTLNON FTL</v>
      </c>
    </row>
    <row r="1660">
      <c t="s" s="7" r="A1660">
        <v>201</v>
      </c>
      <c s="7" r="B1660">
        <v>1687</v>
      </c>
      <c s="30" r="C1660">
        <v>33</v>
      </c>
      <c t="s" s="30" r="D1660">
        <v>147</v>
      </c>
      <c t="s" s="30" r="E1660">
        <v>4</v>
      </c>
      <c t="s" s="30" r="F1660">
        <v>4</v>
      </c>
      <c t="s" s="30" r="G1660">
        <v>258</v>
      </c>
      <c t="str" s="12" r="H1660">
        <f>HYPERLINK("http://sofifa.com/en/fifa13winter/player/148640-andre-weis","A. Weis")</f>
        <v>A. Weis</v>
      </c>
      <c s="30" r="I1660">
        <v>63</v>
      </c>
      <c t="s" s="30" r="J1660">
        <v>106</v>
      </c>
      <c t="s" s="30" r="K1660">
        <v>169</v>
      </c>
      <c t="s" s="30" r="L1660">
        <v>180</v>
      </c>
      <c s="30" r="M1660">
        <v>22</v>
      </c>
      <c s="26" r="N1660">
        <v>0.7</v>
      </c>
      <c s="23" r="O1660">
        <v>0.004</v>
      </c>
      <c s="7" r="P1660"/>
      <c s="7" r="Q1660"/>
      <c s="7" r="R1660">
        <f>IF((P1660&gt;0),O1660,0)</f>
        <v>0</v>
      </c>
      <c t="str" r="S1660">
        <f>CONCATENATE(F1660,E1660)</f>
        <v>NON FTLNON FTL</v>
      </c>
    </row>
    <row r="1661">
      <c t="s" s="7" r="A1661">
        <v>201</v>
      </c>
      <c s="7" r="B1661">
        <v>1688</v>
      </c>
      <c s="30" r="C1661">
        <v>12</v>
      </c>
      <c t="s" s="30" r="D1661">
        <v>147</v>
      </c>
      <c t="s" s="30" r="E1661">
        <v>4</v>
      </c>
      <c t="s" s="30" r="F1661">
        <v>4</v>
      </c>
      <c t="s" s="30" r="G1661">
        <v>258</v>
      </c>
      <c t="str" s="12" r="H1661">
        <f>HYPERLINK("http://sofifa.com/en/fifa13winter/player/148690-benedikt-rocker","B. Röcker")</f>
        <v>B. Röcker</v>
      </c>
      <c s="30" r="I1661">
        <v>62</v>
      </c>
      <c t="s" s="30" r="J1661">
        <v>113</v>
      </c>
      <c t="s" s="30" r="K1661">
        <v>215</v>
      </c>
      <c t="s" s="30" r="L1661">
        <v>178</v>
      </c>
      <c s="30" r="M1661">
        <v>22</v>
      </c>
      <c s="26" r="N1661">
        <v>0.7</v>
      </c>
      <c s="23" r="O1661">
        <v>0.003</v>
      </c>
      <c s="7" r="P1661"/>
      <c s="7" r="Q1661"/>
      <c s="7" r="R1661">
        <f>IF((P1661&gt;0),O1661,0)</f>
        <v>0</v>
      </c>
      <c t="str" r="S1661">
        <f>CONCATENATE(F1661,E1661)</f>
        <v>NON FTLNON FTL</v>
      </c>
    </row>
    <row r="1662">
      <c t="s" s="7" r="A1662">
        <v>201</v>
      </c>
      <c s="7" r="B1662">
        <v>1689</v>
      </c>
      <c s="30" r="C1662">
        <v>19</v>
      </c>
      <c t="s" s="30" r="D1662">
        <v>147</v>
      </c>
      <c t="s" s="30" r="E1662">
        <v>4</v>
      </c>
      <c t="s" s="30" r="F1662">
        <v>4</v>
      </c>
      <c t="s" s="30" r="G1662">
        <v>258</v>
      </c>
      <c t="str" s="12" r="H1662">
        <f>HYPERLINK("http://sofifa.com/en/fifa13winter/player/150067-kevin-stoger","K. Stöger")</f>
        <v>K. Stöger</v>
      </c>
      <c s="30" r="I1662">
        <v>65</v>
      </c>
      <c t="s" s="30" r="J1662">
        <v>162</v>
      </c>
      <c t="s" s="30" r="K1662">
        <v>139</v>
      </c>
      <c t="s" s="30" r="L1662">
        <v>122</v>
      </c>
      <c s="30" r="M1662">
        <v>19</v>
      </c>
      <c s="26" r="N1662">
        <v>1.3</v>
      </c>
      <c s="23" r="O1662">
        <v>0.004</v>
      </c>
      <c s="7" r="P1662"/>
      <c s="7" r="Q1662"/>
      <c s="7" r="R1662">
        <f>IF((P1662&gt;0),O1662,0)</f>
        <v>0</v>
      </c>
      <c t="str" r="S1662">
        <f>CONCATENATE(F1662,E1662)</f>
        <v>NON FTLNON FTL</v>
      </c>
    </row>
    <row r="1663">
      <c t="s" s="7" r="A1663">
        <v>201</v>
      </c>
      <c s="7" r="B1663">
        <v>1690</v>
      </c>
      <c s="30" r="C1663">
        <v>36</v>
      </c>
      <c t="s" s="30" r="D1663">
        <v>147</v>
      </c>
      <c t="s" s="30" r="E1663">
        <v>4</v>
      </c>
      <c t="s" s="30" r="F1663">
        <v>4</v>
      </c>
      <c t="s" s="30" r="G1663">
        <v>258</v>
      </c>
      <c t="str" s="12" r="H1663">
        <f>HYPERLINK("http://sofifa.com/en/fifa13winter/player/149082-christoph-hemlein","C. Hemlein")</f>
        <v>C. Hemlein</v>
      </c>
      <c s="30" r="I1663">
        <v>65</v>
      </c>
      <c t="s" s="30" r="J1663">
        <v>129</v>
      </c>
      <c t="s" s="30" r="K1663">
        <v>114</v>
      </c>
      <c t="s" s="30" r="L1663">
        <v>138</v>
      </c>
      <c s="30" r="M1663">
        <v>21</v>
      </c>
      <c s="26" r="N1663">
        <v>1.3</v>
      </c>
      <c s="23" r="O1663">
        <v>0.004</v>
      </c>
      <c s="7" r="P1663"/>
      <c s="7" r="Q1663"/>
      <c s="7" r="R1663">
        <f>IF((P1663&gt;0),O1663,0)</f>
        <v>0</v>
      </c>
      <c t="str" r="S1663">
        <f>CONCATENATE(F1663,E1663)</f>
        <v>NON FTLNON FTL</v>
      </c>
    </row>
    <row r="1664">
      <c t="s" s="7" r="A1664">
        <v>201</v>
      </c>
      <c s="7" r="B1664">
        <v>1691</v>
      </c>
      <c s="30" r="C1664">
        <v>10</v>
      </c>
      <c t="s" s="30" r="D1664">
        <v>147</v>
      </c>
      <c t="s" s="30" r="E1664">
        <v>4</v>
      </c>
      <c t="s" s="30" r="F1664">
        <v>4</v>
      </c>
      <c t="s" s="30" r="G1664">
        <v>258</v>
      </c>
      <c t="str" s="12" r="H1664">
        <f>HYPERLINK("http://sofifa.com/en/fifa13winter/player/148784-daniel-didavi","D. Didavi")</f>
        <v>D. Didavi</v>
      </c>
      <c s="30" r="I1664">
        <v>75</v>
      </c>
      <c t="s" s="30" r="J1664">
        <v>162</v>
      </c>
      <c t="s" s="30" r="K1664">
        <v>145</v>
      </c>
      <c t="s" s="30" r="L1664">
        <v>160</v>
      </c>
      <c s="30" r="M1664">
        <v>22</v>
      </c>
      <c s="26" r="N1664">
        <v>5.1</v>
      </c>
      <c s="23" r="O1664">
        <v>0.012</v>
      </c>
      <c s="7" r="P1664"/>
      <c s="7" r="Q1664"/>
      <c s="7" r="R1664">
        <f>IF((P1664&gt;0),O1664,0)</f>
        <v>0</v>
      </c>
      <c t="str" r="S1664">
        <f>CONCATENATE(F1664,E1664)</f>
        <v>NON FTLNON FTL</v>
      </c>
    </row>
    <row r="1665">
      <c t="s" s="7" r="A1665">
        <v>201</v>
      </c>
      <c s="7" r="B1665">
        <v>1692</v>
      </c>
      <c s="30" r="C1665">
        <v>14</v>
      </c>
      <c t="s" s="30" r="D1665">
        <v>147</v>
      </c>
      <c t="s" s="30" r="E1665">
        <v>4</v>
      </c>
      <c t="s" s="30" r="F1665">
        <v>4</v>
      </c>
      <c t="s" s="30" r="G1665">
        <v>258</v>
      </c>
      <c t="str" s="12" r="H1665">
        <f>HYPERLINK("http://sofifa.com/en/fifa13winter/player/149331-federico-macheda","F. Macheda")</f>
        <v>F. Macheda</v>
      </c>
      <c s="30" r="I1665">
        <v>70</v>
      </c>
      <c t="s" s="30" r="J1665">
        <v>129</v>
      </c>
      <c t="s" s="30" r="K1665">
        <v>132</v>
      </c>
      <c t="s" s="30" r="L1665">
        <v>160</v>
      </c>
      <c s="30" r="M1665">
        <v>21</v>
      </c>
      <c s="26" r="N1665">
        <v>2.4</v>
      </c>
      <c s="23" r="O1665">
        <v>0.006</v>
      </c>
      <c s="7" r="P1665"/>
      <c s="7" r="Q1665"/>
      <c s="7" r="R1665">
        <f>IF((P1665&gt;0),O1665,0)</f>
        <v>0</v>
      </c>
      <c t="str" r="S1665">
        <f>CONCATENATE(F1665,E1665)</f>
        <v>NON FTLNON FTL</v>
      </c>
    </row>
    <row r="1666">
      <c t="s" s="7" r="A1666">
        <v>201</v>
      </c>
      <c s="7" r="B1666">
        <v>1693</v>
      </c>
      <c s="30" r="C1666">
        <v>13</v>
      </c>
      <c t="s" s="30" r="D1666">
        <v>147</v>
      </c>
      <c t="s" s="30" r="E1666">
        <v>4</v>
      </c>
      <c t="s" s="30" r="F1666">
        <v>4</v>
      </c>
      <c t="s" s="30" r="G1666">
        <v>258</v>
      </c>
      <c t="str" s="12" r="H1666">
        <f>HYPERLINK("http://sofifa.com/en/fifa13winter/player/148117-mamadou-bah","M. Bah")</f>
        <v>M. Bah</v>
      </c>
      <c s="30" r="I1666">
        <v>67</v>
      </c>
      <c t="s" s="30" r="J1666">
        <v>154</v>
      </c>
      <c t="s" s="30" r="K1666">
        <v>143</v>
      </c>
      <c t="s" s="30" r="L1666">
        <v>151</v>
      </c>
      <c s="30" r="M1666">
        <v>24</v>
      </c>
      <c s="26" r="N1666">
        <v>1.3</v>
      </c>
      <c s="23" r="O1666">
        <v>0.006</v>
      </c>
      <c s="7" r="P1666"/>
      <c s="7" r="Q1666"/>
      <c s="7" r="R1666">
        <f>IF((P1666&gt;0),O1666,0)</f>
        <v>0</v>
      </c>
      <c t="str" r="S1666">
        <f>CONCATENATE(F1666,E1666)</f>
        <v>NON FTLNON FTL</v>
      </c>
    </row>
    <row r="1667">
      <c t="s" s="7" r="A1667">
        <v>201</v>
      </c>
      <c s="7" r="B1667">
        <v>1694</v>
      </c>
      <c s="30" r="C1667">
        <v>28</v>
      </c>
      <c t="s" s="30" r="D1667">
        <v>147</v>
      </c>
      <c t="s" s="30" r="E1667">
        <v>4</v>
      </c>
      <c t="s" s="30" r="F1667">
        <v>4</v>
      </c>
      <c t="s" s="30" r="G1667">
        <v>258</v>
      </c>
      <c t="str" s="12" r="H1667">
        <f>HYPERLINK("http://sofifa.com/en/fifa13winter/player/150220-rani-khedira","R. Khedira")</f>
        <v>R. Khedira</v>
      </c>
      <c s="30" r="I1667">
        <v>58</v>
      </c>
      <c t="s" s="30" r="J1667">
        <v>154</v>
      </c>
      <c t="s" s="30" r="K1667">
        <v>134</v>
      </c>
      <c t="s" s="30" r="L1667">
        <v>108</v>
      </c>
      <c s="30" r="M1667">
        <v>18</v>
      </c>
      <c s="26" r="N1667">
        <v>0.3</v>
      </c>
      <c s="23" r="O1667">
        <v>0.002</v>
      </c>
      <c s="7" r="P1667"/>
      <c s="7" r="Q1667"/>
      <c s="7" r="R1667">
        <f>IF((P1667&gt;0),O1667,0)</f>
        <v>0</v>
      </c>
      <c t="str" r="S1667">
        <f>CONCATENATE(F1667,E1667)</f>
        <v>NON FTLNON FTL</v>
      </c>
    </row>
    <row r="1668">
      <c t="s" s="7" r="A1668">
        <v>201</v>
      </c>
      <c s="7" r="B1668">
        <v>1695</v>
      </c>
      <c s="30" r="C1668">
        <v>1</v>
      </c>
      <c t="s" s="30" r="D1668">
        <v>106</v>
      </c>
      <c t="s" s="30" r="E1668">
        <v>4</v>
      </c>
      <c t="s" s="30" r="F1668">
        <v>4</v>
      </c>
      <c t="s" s="30" r="G1668">
        <v>259</v>
      </c>
      <c t="str" s="12" r="H1668">
        <f>HYPERLINK("http://sofifa.com/en/fifa13winter/player/148566-sebastian-mielitz","S. Mielitz")</f>
        <v>S. Mielitz</v>
      </c>
      <c s="30" r="I1668">
        <v>73</v>
      </c>
      <c t="s" s="30" r="J1668">
        <v>106</v>
      </c>
      <c t="s" s="30" r="K1668">
        <v>134</v>
      </c>
      <c t="s" s="30" r="L1668">
        <v>108</v>
      </c>
      <c s="30" r="M1668">
        <v>23</v>
      </c>
      <c s="26" r="N1668">
        <v>2.6</v>
      </c>
      <c s="23" r="O1668">
        <v>0.009</v>
      </c>
      <c s="7" r="P1668"/>
      <c s="7" r="Q1668"/>
      <c s="7" r="R1668">
        <f>IF((P1668&gt;0),O1668,0)</f>
        <v>0</v>
      </c>
      <c t="str" r="S1668">
        <f>CONCATENATE(F1668,E1668)</f>
        <v>NON FTLNON FTL</v>
      </c>
    </row>
    <row r="1669">
      <c t="s" s="7" r="A1669">
        <v>201</v>
      </c>
      <c s="7" r="B1669">
        <v>1696</v>
      </c>
      <c s="30" r="C1669">
        <v>23</v>
      </c>
      <c t="s" s="30" r="D1669">
        <v>109</v>
      </c>
      <c t="s" s="30" r="E1669">
        <v>4</v>
      </c>
      <c t="s" s="30" r="F1669">
        <v>4</v>
      </c>
      <c t="s" s="30" r="G1669">
        <v>259</v>
      </c>
      <c t="str" s="12" r="H1669">
        <f>HYPERLINK("http://sofifa.com/en/fifa13winter/player/147629-theodor-gebre-selassie","T. Gebre Selassie")</f>
        <v>T. Gebre Selassie</v>
      </c>
      <c s="30" r="I1669">
        <v>74</v>
      </c>
      <c t="s" s="30" r="J1669">
        <v>109</v>
      </c>
      <c t="s" s="30" r="K1669">
        <v>150</v>
      </c>
      <c t="s" s="30" r="L1669">
        <v>142</v>
      </c>
      <c s="30" r="M1669">
        <v>25</v>
      </c>
      <c s="26" r="N1669">
        <v>3.2</v>
      </c>
      <c s="23" r="O1669">
        <v>0.011</v>
      </c>
      <c s="7" r="P1669"/>
      <c s="7" r="Q1669"/>
      <c s="7" r="R1669">
        <f>IF((P1669&gt;0),O1669,0)</f>
        <v>0</v>
      </c>
      <c t="str" r="S1669">
        <f>CONCATENATE(F1669,E1669)</f>
        <v>NON FTLNON FTL</v>
      </c>
    </row>
    <row r="1670">
      <c t="s" s="7" r="A1670">
        <v>201</v>
      </c>
      <c s="7" r="B1670">
        <v>1697</v>
      </c>
      <c s="30" r="C1670">
        <v>15</v>
      </c>
      <c t="s" s="30" r="D1670">
        <v>112</v>
      </c>
      <c t="s" s="30" r="E1670">
        <v>4</v>
      </c>
      <c t="s" s="30" r="F1670">
        <v>4</v>
      </c>
      <c t="s" s="30" r="G1670">
        <v>259</v>
      </c>
      <c t="str" s="12" r="H1670">
        <f>HYPERLINK("http://sofifa.com/en/fifa13winter/player/147808-sebastian-prodl","S. Prödl")</f>
        <v>S. Prödl</v>
      </c>
      <c s="30" r="I1670">
        <v>74</v>
      </c>
      <c t="s" s="30" r="J1670">
        <v>113</v>
      </c>
      <c t="s" s="30" r="K1670">
        <v>188</v>
      </c>
      <c t="s" s="30" r="L1670">
        <v>179</v>
      </c>
      <c s="30" r="M1670">
        <v>25</v>
      </c>
      <c s="26" r="N1670">
        <v>3.6</v>
      </c>
      <c s="23" r="O1670">
        <v>0.011</v>
      </c>
      <c s="7" r="P1670"/>
      <c s="7" r="Q1670"/>
      <c s="7" r="R1670">
        <f>IF((P1670&gt;0),O1670,0)</f>
        <v>0</v>
      </c>
      <c t="str" r="S1670">
        <f>CONCATENATE(F1670,E1670)</f>
        <v>NON FTLNON FTL</v>
      </c>
    </row>
    <row r="1671">
      <c t="s" s="7" r="A1671">
        <v>201</v>
      </c>
      <c s="7" r="B1671">
        <v>1698</v>
      </c>
      <c s="30" r="C1671">
        <v>22</v>
      </c>
      <c t="s" s="30" r="D1671">
        <v>116</v>
      </c>
      <c t="s" s="30" r="E1671">
        <v>4</v>
      </c>
      <c t="s" s="30" r="F1671">
        <v>4</v>
      </c>
      <c t="s" s="30" r="G1671">
        <v>259</v>
      </c>
      <c t="str" s="12" r="H1671">
        <f>HYPERLINK("http://sofifa.com/en/fifa13winter/player/148162-sokratis-papastathopoulos","Sokratis")</f>
        <v>Sokratis</v>
      </c>
      <c s="30" r="I1671">
        <v>79</v>
      </c>
      <c t="s" s="30" r="J1671">
        <v>113</v>
      </c>
      <c t="s" s="30" r="K1671">
        <v>132</v>
      </c>
      <c t="s" s="30" r="L1671">
        <v>193</v>
      </c>
      <c s="30" r="M1671">
        <v>24</v>
      </c>
      <c s="26" r="N1671">
        <v>7.3</v>
      </c>
      <c s="23" r="O1671">
        <v>0.022</v>
      </c>
      <c s="7" r="P1671"/>
      <c s="7" r="Q1671"/>
      <c s="7" r="R1671">
        <f>IF((P1671&gt;0),O1671,0)</f>
        <v>0</v>
      </c>
      <c t="str" r="S1671">
        <f>CONCATENATE(F1671,E1671)</f>
        <v>NON FTLNON FTL</v>
      </c>
    </row>
    <row r="1672">
      <c t="s" s="7" r="A1672">
        <v>201</v>
      </c>
      <c s="7" r="B1672">
        <v>1699</v>
      </c>
      <c s="30" r="C1672">
        <v>17</v>
      </c>
      <c t="s" s="30" r="D1672">
        <v>117</v>
      </c>
      <c t="s" s="30" r="E1672">
        <v>4</v>
      </c>
      <c t="s" s="30" r="F1672">
        <v>4</v>
      </c>
      <c t="s" s="30" r="G1672">
        <v>259</v>
      </c>
      <c t="str" s="12" r="H1672">
        <f>HYPERLINK("http://sofifa.com/en/fifa13winter/player/149124-aleksandar-ignjovski","A. Ignjovski")</f>
        <v>A. Ignjovski</v>
      </c>
      <c s="30" r="I1672">
        <v>72</v>
      </c>
      <c t="s" s="30" r="J1672">
        <v>154</v>
      </c>
      <c t="s" s="30" r="K1672">
        <v>139</v>
      </c>
      <c t="s" s="30" r="L1672">
        <v>115</v>
      </c>
      <c s="30" r="M1672">
        <v>21</v>
      </c>
      <c s="26" r="N1672">
        <v>2.7</v>
      </c>
      <c s="23" r="O1672">
        <v>0.008</v>
      </c>
      <c s="7" r="P1672"/>
      <c s="7" r="Q1672"/>
      <c s="7" r="R1672">
        <f>IF((P1672&gt;0),O1672,0)</f>
        <v>0</v>
      </c>
      <c t="str" r="S1672">
        <f>CONCATENATE(F1672,E1672)</f>
        <v>NON FTLNON FTL</v>
      </c>
    </row>
    <row r="1673">
      <c t="s" s="7" r="A1673">
        <v>201</v>
      </c>
      <c s="7" r="B1673">
        <v>1700</v>
      </c>
      <c s="30" r="C1673">
        <v>16</v>
      </c>
      <c t="s" s="30" r="D1673">
        <v>154</v>
      </c>
      <c t="s" s="30" r="E1673">
        <v>4</v>
      </c>
      <c t="s" s="30" r="F1673">
        <v>4</v>
      </c>
      <c t="s" s="30" r="G1673">
        <v>259</v>
      </c>
      <c t="str" s="12" r="H1673">
        <f>HYPERLINK("http://sofifa.com/en/fifa13winter/player/147905-zlatko-junuzovic","Z. Junuzović")</f>
        <v>Z. Junuzović</v>
      </c>
      <c s="30" r="I1673">
        <v>75</v>
      </c>
      <c t="s" s="30" r="J1673">
        <v>124</v>
      </c>
      <c t="s" s="30" r="K1673">
        <v>187</v>
      </c>
      <c t="s" s="30" r="L1673">
        <v>111</v>
      </c>
      <c s="30" r="M1673">
        <v>24</v>
      </c>
      <c s="26" r="N1673">
        <v>4.7</v>
      </c>
      <c s="23" r="O1673">
        <v>0.013</v>
      </c>
      <c s="7" r="P1673"/>
      <c s="7" r="Q1673"/>
      <c s="7" r="R1673">
        <f>IF((P1673&gt;0),O1673,0)</f>
        <v>0</v>
      </c>
      <c t="str" r="S1673">
        <f>CONCATENATE(F1673,E1673)</f>
        <v>NON FTLNON FTL</v>
      </c>
    </row>
    <row r="1674">
      <c t="s" s="7" r="A1674">
        <v>201</v>
      </c>
      <c s="7" r="B1674">
        <v>1701</v>
      </c>
      <c s="30" r="C1674">
        <v>7</v>
      </c>
      <c t="s" s="30" r="D1674">
        <v>120</v>
      </c>
      <c t="s" s="30" r="E1674">
        <v>4</v>
      </c>
      <c t="s" s="30" r="F1674">
        <v>4</v>
      </c>
      <c t="s" s="30" r="G1674">
        <v>259</v>
      </c>
      <c t="str" s="12" r="H1674">
        <f>HYPERLINK("http://sofifa.com/en/fifa13winter/player/148476-marko-arnautovic","M. Arnautovic")</f>
        <v>M. Arnautovic</v>
      </c>
      <c s="30" r="I1674">
        <v>77</v>
      </c>
      <c t="s" s="30" r="J1674">
        <v>120</v>
      </c>
      <c t="s" s="30" r="K1674">
        <v>165</v>
      </c>
      <c t="s" s="30" r="L1674">
        <v>108</v>
      </c>
      <c s="30" r="M1674">
        <v>23</v>
      </c>
      <c s="26" r="N1674">
        <v>6.2</v>
      </c>
      <c s="23" r="O1674">
        <v>0.016</v>
      </c>
      <c s="7" r="P1674"/>
      <c s="7" r="Q1674"/>
      <c s="7" r="R1674">
        <f>IF((P1674&gt;0),O1674,0)</f>
        <v>0</v>
      </c>
      <c t="str" r="S1674">
        <f>CONCATENATE(F1674,E1674)</f>
        <v>NON FTLNON FTL</v>
      </c>
    </row>
    <row r="1675">
      <c t="s" s="7" r="A1675">
        <v>201</v>
      </c>
      <c s="7" r="B1675">
        <v>1702</v>
      </c>
      <c s="30" r="C1675">
        <v>6</v>
      </c>
      <c t="s" s="30" r="D1675">
        <v>123</v>
      </c>
      <c t="s" s="30" r="E1675">
        <v>4</v>
      </c>
      <c t="s" s="30" r="F1675">
        <v>4</v>
      </c>
      <c t="s" s="30" r="G1675">
        <v>259</v>
      </c>
      <c t="str" s="12" r="H1675">
        <f>HYPERLINK("http://sofifa.com/en/fifa13winter/player/149276-kevin-de-bruyne","K. De Bruyne")</f>
        <v>K. De Bruyne</v>
      </c>
      <c s="30" r="I1675">
        <v>79</v>
      </c>
      <c t="s" s="30" r="J1675">
        <v>162</v>
      </c>
      <c t="s" s="30" r="K1675">
        <v>150</v>
      </c>
      <c t="s" s="30" r="L1675">
        <v>137</v>
      </c>
      <c s="30" r="M1675">
        <v>21</v>
      </c>
      <c s="26" r="N1675">
        <v>9.1</v>
      </c>
      <c s="23" r="O1675">
        <v>0.019</v>
      </c>
      <c s="7" r="P1675"/>
      <c s="7" r="Q1675"/>
      <c s="7" r="R1675">
        <f>IF((P1675&gt;0),O1675,0)</f>
        <v>0</v>
      </c>
      <c t="str" r="S1675">
        <f>CONCATENATE(F1675,E1675)</f>
        <v>NON FTLNON FTL</v>
      </c>
    </row>
    <row r="1676">
      <c t="s" s="7" r="A1676">
        <v>201</v>
      </c>
      <c s="7" r="B1676">
        <v>1703</v>
      </c>
      <c s="30" r="C1676">
        <v>14</v>
      </c>
      <c t="s" s="30" r="D1676">
        <v>126</v>
      </c>
      <c t="s" s="30" r="E1676">
        <v>4</v>
      </c>
      <c t="s" s="30" r="F1676">
        <v>4</v>
      </c>
      <c t="s" s="30" r="G1676">
        <v>259</v>
      </c>
      <c t="str" s="12" r="H1676">
        <f>HYPERLINK("http://sofifa.com/en/fifa13winter/player/147518-aaron-hunt","A. Hunt")</f>
        <v>A. Hunt</v>
      </c>
      <c s="30" r="I1676">
        <v>79</v>
      </c>
      <c t="s" s="30" r="J1676">
        <v>162</v>
      </c>
      <c t="s" s="30" r="K1676">
        <v>110</v>
      </c>
      <c t="s" s="30" r="L1676">
        <v>119</v>
      </c>
      <c s="30" r="M1676">
        <v>25</v>
      </c>
      <c s="26" r="N1676">
        <v>8.3</v>
      </c>
      <c s="23" r="O1676">
        <v>0.022</v>
      </c>
      <c s="7" r="P1676"/>
      <c s="7" r="Q1676"/>
      <c s="7" r="R1676">
        <f>IF((P1676&gt;0),O1676,0)</f>
        <v>0</v>
      </c>
      <c t="str" r="S1676">
        <f>CONCATENATE(F1676,E1676)</f>
        <v>NON FTLNON FTL</v>
      </c>
    </row>
    <row r="1677">
      <c t="s" s="7" r="A1677">
        <v>201</v>
      </c>
      <c s="7" r="B1677">
        <v>1704</v>
      </c>
      <c s="30" r="C1677">
        <v>11</v>
      </c>
      <c t="s" s="30" r="D1677">
        <v>128</v>
      </c>
      <c t="s" s="30" r="E1677">
        <v>4</v>
      </c>
      <c t="s" s="30" r="F1677">
        <v>4</v>
      </c>
      <c t="s" s="30" r="G1677">
        <v>259</v>
      </c>
      <c t="str" s="12" r="H1677">
        <f>HYPERLINK("http://sofifa.com/en/fifa13winter/player/147680-eljero-elia","E. Elia")</f>
        <v>E. Elia</v>
      </c>
      <c s="30" r="I1677">
        <v>77</v>
      </c>
      <c t="s" s="30" r="J1677">
        <v>128</v>
      </c>
      <c t="s" s="30" r="K1677">
        <v>172</v>
      </c>
      <c t="s" s="30" r="L1677">
        <v>138</v>
      </c>
      <c s="30" r="M1677">
        <v>25</v>
      </c>
      <c s="26" r="N1677">
        <v>7</v>
      </c>
      <c s="23" r="O1677">
        <v>0.017</v>
      </c>
      <c s="7" r="P1677"/>
      <c s="7" r="Q1677"/>
      <c s="7" r="R1677">
        <f>IF((P1677&gt;0),O1677,0)</f>
        <v>0</v>
      </c>
      <c t="str" r="S1677">
        <f>CONCATENATE(F1677,E1677)</f>
        <v>NON FTLNON FTL</v>
      </c>
    </row>
    <row r="1678">
      <c t="s" s="7" r="A1678">
        <v>201</v>
      </c>
      <c s="7" r="B1678">
        <v>1705</v>
      </c>
      <c s="30" r="C1678">
        <v>24</v>
      </c>
      <c t="s" s="30" r="D1678">
        <v>129</v>
      </c>
      <c t="s" s="30" r="E1678">
        <v>4</v>
      </c>
      <c t="s" s="30" r="F1678">
        <v>4</v>
      </c>
      <c t="s" s="30" r="G1678">
        <v>259</v>
      </c>
      <c t="str" s="12" r="H1678">
        <f>HYPERLINK("http://sofifa.com/en/fifa13winter/player/148342-nils-petersen","N. Petersen")</f>
        <v>N. Petersen</v>
      </c>
      <c s="30" r="I1678">
        <v>76</v>
      </c>
      <c t="s" s="30" r="J1678">
        <v>129</v>
      </c>
      <c t="s" s="30" r="K1678">
        <v>134</v>
      </c>
      <c t="s" s="30" r="L1678">
        <v>153</v>
      </c>
      <c s="30" r="M1678">
        <v>23</v>
      </c>
      <c s="26" r="N1678">
        <v>6.2</v>
      </c>
      <c s="23" r="O1678">
        <v>0.014</v>
      </c>
      <c s="7" r="P1678"/>
      <c s="7" r="Q1678"/>
      <c s="7" r="R1678">
        <f>IF((P1678&gt;0),O1678,0)</f>
        <v>0</v>
      </c>
      <c t="str" r="S1678">
        <f>CONCATENATE(F1678,E1678)</f>
        <v>NON FTLNON FTL</v>
      </c>
    </row>
    <row r="1679">
      <c t="s" s="7" r="A1679">
        <v>201</v>
      </c>
      <c s="7" r="B1679">
        <v>1706</v>
      </c>
      <c s="30" r="C1679">
        <v>44</v>
      </c>
      <c t="s" s="30" r="D1679">
        <v>136</v>
      </c>
      <c t="s" s="30" r="E1679">
        <v>4</v>
      </c>
      <c t="s" s="30" r="F1679">
        <v>4</v>
      </c>
      <c t="s" s="30" r="G1679">
        <v>259</v>
      </c>
      <c t="str" s="12" r="H1679">
        <f>HYPERLINK("http://sofifa.com/en/fifa13winter/player/148429-philipp-bargfrede","P. Bargfrede")</f>
        <v>P. Bargfrede</v>
      </c>
      <c s="30" r="I1679">
        <v>72</v>
      </c>
      <c t="s" s="30" r="J1679">
        <v>154</v>
      </c>
      <c t="s" s="30" r="K1679">
        <v>182</v>
      </c>
      <c t="s" s="30" r="L1679">
        <v>142</v>
      </c>
      <c s="30" r="M1679">
        <v>23</v>
      </c>
      <c s="26" r="N1679">
        <v>2.6</v>
      </c>
      <c s="23" r="O1679">
        <v>0.008</v>
      </c>
      <c s="7" r="P1679"/>
      <c s="7" r="Q1679"/>
      <c s="7" r="R1679">
        <f>IF((P1679&gt;0),O1679,0)</f>
        <v>0</v>
      </c>
      <c t="str" r="S1679">
        <f>CONCATENATE(F1679,E1679)</f>
        <v>NON FTLNON FTL</v>
      </c>
    </row>
    <row r="1680">
      <c t="s" s="7" r="A1680">
        <v>201</v>
      </c>
      <c s="7" r="B1680">
        <v>1707</v>
      </c>
      <c s="30" r="C1680">
        <v>30</v>
      </c>
      <c t="s" s="30" r="D1680">
        <v>136</v>
      </c>
      <c t="s" s="30" r="E1680">
        <v>4</v>
      </c>
      <c t="s" s="30" r="F1680">
        <v>4</v>
      </c>
      <c t="s" s="30" r="G1680">
        <v>259</v>
      </c>
      <c t="str" s="12" r="H1680">
        <f>HYPERLINK("http://sofifa.com/en/fifa13winter/player/149873-richard-strebinger","R. Strebinger")</f>
        <v>R. Strebinger</v>
      </c>
      <c s="30" r="I1680">
        <v>61</v>
      </c>
      <c t="s" s="30" r="J1680">
        <v>106</v>
      </c>
      <c t="s" s="30" r="K1680">
        <v>188</v>
      </c>
      <c t="s" s="30" r="L1680">
        <v>191</v>
      </c>
      <c s="30" r="M1680">
        <v>19</v>
      </c>
      <c s="26" r="N1680">
        <v>0.6</v>
      </c>
      <c s="23" r="O1680">
        <v>0.003</v>
      </c>
      <c s="7" r="P1680"/>
      <c s="7" r="Q1680"/>
      <c s="7" r="R1680">
        <f>IF((P1680&gt;0),O1680,0)</f>
        <v>0</v>
      </c>
      <c t="str" r="S1680">
        <f>CONCATENATE(F1680,E1680)</f>
        <v>NON FTLNON FTL</v>
      </c>
    </row>
    <row r="1681">
      <c t="s" s="7" r="A1681">
        <v>201</v>
      </c>
      <c s="7" r="B1681">
        <v>1708</v>
      </c>
      <c s="30" r="C1681">
        <v>13</v>
      </c>
      <c t="s" s="30" r="D1681">
        <v>136</v>
      </c>
      <c t="s" s="30" r="E1681">
        <v>4</v>
      </c>
      <c t="s" s="30" r="F1681">
        <v>4</v>
      </c>
      <c t="s" s="30" r="G1681">
        <v>259</v>
      </c>
      <c t="str" s="12" r="H1681">
        <f>HYPERLINK("http://sofifa.com/en/fifa13winter/player/148288-lukas-schmitz","L. Schmitz")</f>
        <v>L. Schmitz</v>
      </c>
      <c s="30" r="I1681">
        <v>71</v>
      </c>
      <c t="s" s="30" r="J1681">
        <v>117</v>
      </c>
      <c t="s" s="30" r="K1681">
        <v>167</v>
      </c>
      <c t="s" s="30" r="L1681">
        <v>153</v>
      </c>
      <c s="30" r="M1681">
        <v>23</v>
      </c>
      <c s="26" r="N1681">
        <v>2.2</v>
      </c>
      <c s="23" r="O1681">
        <v>0.007</v>
      </c>
      <c s="7" r="P1681"/>
      <c s="7" r="Q1681"/>
      <c s="7" r="R1681">
        <f>IF((P1681&gt;0),O1681,0)</f>
        <v>0</v>
      </c>
      <c t="str" r="S1681">
        <f>CONCATENATE(F1681,E1681)</f>
        <v>NON FTLNON FTL</v>
      </c>
    </row>
    <row r="1682">
      <c t="s" s="7" r="A1682">
        <v>201</v>
      </c>
      <c s="7" r="B1682">
        <v>1709</v>
      </c>
      <c s="30" r="C1682">
        <v>26</v>
      </c>
      <c t="s" s="30" r="D1682">
        <v>136</v>
      </c>
      <c t="s" s="30" r="E1682">
        <v>4</v>
      </c>
      <c t="s" s="30" r="F1682">
        <v>4</v>
      </c>
      <c t="s" s="30" r="G1682">
        <v>259</v>
      </c>
      <c t="str" s="12" r="H1682">
        <f>HYPERLINK("http://sofifa.com/en/fifa13winter/player/149977-florian-hartherz","F. Hartherz")</f>
        <v>F. Hartherz</v>
      </c>
      <c s="30" r="I1682">
        <v>66</v>
      </c>
      <c t="s" s="30" r="J1682">
        <v>117</v>
      </c>
      <c t="s" s="30" r="K1682">
        <v>155</v>
      </c>
      <c t="s" s="30" r="L1682">
        <v>193</v>
      </c>
      <c s="30" r="M1682">
        <v>19</v>
      </c>
      <c s="26" r="N1682">
        <v>1.2</v>
      </c>
      <c s="23" r="O1682">
        <v>0.004</v>
      </c>
      <c s="7" r="P1682"/>
      <c s="7" r="Q1682"/>
      <c s="7" r="R1682">
        <f>IF((P1682&gt;0),O1682,0)</f>
        <v>0</v>
      </c>
      <c t="str" r="S1682">
        <f>CONCATENATE(F1682,E1682)</f>
        <v>NON FTLNON FTL</v>
      </c>
    </row>
    <row r="1683">
      <c t="s" s="7" r="A1683">
        <v>201</v>
      </c>
      <c s="7" r="B1683">
        <v>1710</v>
      </c>
      <c s="30" r="C1683">
        <v>25</v>
      </c>
      <c t="s" s="30" r="D1683">
        <v>136</v>
      </c>
      <c t="s" s="30" r="E1683">
        <v>4</v>
      </c>
      <c t="s" s="30" r="F1683">
        <v>4</v>
      </c>
      <c t="s" s="30" r="G1683">
        <v>259</v>
      </c>
      <c t="str" s="12" r="H1683">
        <f>HYPERLINK("http://sofifa.com/en/fifa13winter/player/149896-tom-trybull","T. Trybull")</f>
        <v>T. Trybull</v>
      </c>
      <c s="30" r="I1683">
        <v>68</v>
      </c>
      <c t="s" s="30" r="J1683">
        <v>154</v>
      </c>
      <c t="s" s="30" r="K1683">
        <v>150</v>
      </c>
      <c t="s" s="30" r="L1683">
        <v>146</v>
      </c>
      <c s="30" r="M1683">
        <v>19</v>
      </c>
      <c s="26" r="N1683">
        <v>1.7</v>
      </c>
      <c s="23" r="O1683">
        <v>0.005</v>
      </c>
      <c s="7" r="P1683"/>
      <c s="7" r="Q1683"/>
      <c s="7" r="R1683">
        <f>IF((P1683&gt;0),O1683,0)</f>
        <v>0</v>
      </c>
      <c t="str" r="S1683">
        <f>CONCATENATE(F1683,E1683)</f>
        <v>NON FTLNON FTL</v>
      </c>
    </row>
    <row r="1684">
      <c t="s" s="7" r="A1684">
        <v>201</v>
      </c>
      <c s="7" r="B1684">
        <v>1711</v>
      </c>
      <c s="30" r="C1684">
        <v>32</v>
      </c>
      <c t="s" s="30" r="D1684">
        <v>136</v>
      </c>
      <c t="s" s="30" r="E1684">
        <v>4</v>
      </c>
      <c t="s" s="30" r="F1684">
        <v>4</v>
      </c>
      <c t="s" s="30" r="G1684">
        <v>259</v>
      </c>
      <c t="str" s="12" r="H1684">
        <f>HYPERLINK("http://sofifa.com/en/fifa13winter/player/149928-ozkan-yildirim","O. Yildirim")</f>
        <v>O. Yildirim</v>
      </c>
      <c s="30" r="I1684">
        <v>66</v>
      </c>
      <c t="s" s="30" r="J1684">
        <v>162</v>
      </c>
      <c t="s" s="30" r="K1684">
        <v>187</v>
      </c>
      <c t="s" s="30" r="L1684">
        <v>137</v>
      </c>
      <c s="30" r="M1684">
        <v>19</v>
      </c>
      <c s="26" r="N1684">
        <v>1.5</v>
      </c>
      <c s="23" r="O1684">
        <v>0.004</v>
      </c>
      <c s="7" r="P1684"/>
      <c s="7" r="Q1684"/>
      <c s="7" r="R1684">
        <f>IF((P1684&gt;0),O1684,0)</f>
        <v>0</v>
      </c>
      <c t="str" r="S1684">
        <f>CONCATENATE(F1684,E1684)</f>
        <v>NON FTLNON FTL</v>
      </c>
    </row>
    <row r="1685">
      <c t="s" s="7" r="A1685">
        <v>201</v>
      </c>
      <c s="7" r="B1685">
        <v>1712</v>
      </c>
      <c s="30" r="C1685">
        <v>41</v>
      </c>
      <c t="s" s="30" r="D1685">
        <v>136</v>
      </c>
      <c t="s" s="30" r="E1685">
        <v>4</v>
      </c>
      <c t="s" s="30" r="F1685">
        <v>4</v>
      </c>
      <c t="s" s="30" r="G1685">
        <v>259</v>
      </c>
      <c t="str" s="12" r="H1685">
        <f>HYPERLINK("http://sofifa.com/en/fifa13winter/player/149868-niclas-fullkrug","N. Füllkrug")</f>
        <v>N. Füllkrug</v>
      </c>
      <c s="30" r="I1685">
        <v>68</v>
      </c>
      <c t="s" s="30" r="J1685">
        <v>129</v>
      </c>
      <c t="s" s="30" r="K1685">
        <v>134</v>
      </c>
      <c t="s" s="30" r="L1685">
        <v>161</v>
      </c>
      <c s="30" r="M1685">
        <v>19</v>
      </c>
      <c s="26" r="N1685">
        <v>2.1</v>
      </c>
      <c s="23" r="O1685">
        <v>0.005</v>
      </c>
      <c s="7" r="P1685"/>
      <c s="7" r="Q1685"/>
      <c s="7" r="R1685">
        <f>IF((P1685&gt;0),O1685,0)</f>
        <v>0</v>
      </c>
      <c t="str" r="S1685">
        <f>CONCATENATE(F1685,E1685)</f>
        <v>NON FTLNON FTL</v>
      </c>
    </row>
    <row r="1686">
      <c t="s" s="7" r="A1686">
        <v>201</v>
      </c>
      <c s="7" r="B1686">
        <v>1713</v>
      </c>
      <c s="30" r="C1686">
        <v>4</v>
      </c>
      <c t="s" s="30" r="D1686">
        <v>136</v>
      </c>
      <c t="s" s="30" r="E1686">
        <v>4</v>
      </c>
      <c t="s" s="30" r="F1686">
        <v>4</v>
      </c>
      <c t="s" s="30" r="G1686">
        <v>259</v>
      </c>
      <c t="str" s="12" r="H1686">
        <f>HYPERLINK("http://sofifa.com/en/fifa13winter/player/148892-mateo-pavlovic","M. Pavlovic")</f>
        <v>M. Pavlovic</v>
      </c>
      <c s="30" r="I1686">
        <v>67</v>
      </c>
      <c t="s" s="30" r="J1686">
        <v>113</v>
      </c>
      <c t="s" s="30" r="K1686">
        <v>198</v>
      </c>
      <c t="s" s="30" r="L1686">
        <v>178</v>
      </c>
      <c s="30" r="M1686">
        <v>22</v>
      </c>
      <c s="26" r="N1686">
        <v>1.4</v>
      </c>
      <c s="23" r="O1686">
        <v>0.005</v>
      </c>
      <c s="7" r="P1686"/>
      <c s="7" r="Q1686"/>
      <c s="7" r="R1686">
        <f>IF((P1686&gt;0),O1686,0)</f>
        <v>0</v>
      </c>
      <c t="str" r="S1686">
        <f>CONCATENATE(F1686,E1686)</f>
        <v>NON FTLNON FTL</v>
      </c>
    </row>
    <row r="1687">
      <c t="s" s="7" r="A1687">
        <v>201</v>
      </c>
      <c s="7" r="B1687">
        <v>1714</v>
      </c>
      <c s="30" r="C1687">
        <v>8</v>
      </c>
      <c t="s" s="30" r="D1687">
        <v>136</v>
      </c>
      <c t="s" s="30" r="E1687">
        <v>4</v>
      </c>
      <c t="s" s="30" r="F1687">
        <v>4</v>
      </c>
      <c t="s" s="30" r="G1687">
        <v>259</v>
      </c>
      <c t="str" s="12" r="H1687">
        <f>HYPERLINK("http://sofifa.com/en/fifa13winter/player/145421-clemens-fritz","C. Fritz")</f>
        <v>C. Fritz</v>
      </c>
      <c s="30" r="I1687">
        <v>74</v>
      </c>
      <c t="s" s="30" r="J1687">
        <v>109</v>
      </c>
      <c t="s" s="30" r="K1687">
        <v>110</v>
      </c>
      <c t="s" s="30" r="L1687">
        <v>183</v>
      </c>
      <c s="30" r="M1687">
        <v>31</v>
      </c>
      <c s="26" r="N1687">
        <v>2.5</v>
      </c>
      <c s="23" r="O1687">
        <v>0.012</v>
      </c>
      <c s="7" r="P1687"/>
      <c s="7" r="Q1687"/>
      <c s="7" r="R1687">
        <f>IF((P1687&gt;0),O1687,0)</f>
        <v>0</v>
      </c>
      <c t="str" r="S1687">
        <f>CONCATENATE(F1687,E1687)</f>
        <v>NON FTLNON FTL</v>
      </c>
    </row>
    <row r="1688">
      <c t="s" s="7" r="A1688">
        <v>201</v>
      </c>
      <c s="7" r="B1688">
        <v>1715</v>
      </c>
      <c s="30" r="C1688">
        <v>19</v>
      </c>
      <c t="s" s="30" r="D1688">
        <v>136</v>
      </c>
      <c t="s" s="30" r="E1688">
        <v>4</v>
      </c>
      <c t="s" s="30" r="F1688">
        <v>4</v>
      </c>
      <c t="s" s="30" r="G1688">
        <v>259</v>
      </c>
      <c t="str" s="12" r="H1688">
        <f>HYPERLINK("http://sofifa.com/en/fifa13winter/player/147507-joseph-akpala","J. Akpala")</f>
        <v>J. Akpala</v>
      </c>
      <c s="30" r="I1688">
        <v>71</v>
      </c>
      <c t="s" s="30" r="J1688">
        <v>129</v>
      </c>
      <c t="s" s="30" r="K1688">
        <v>167</v>
      </c>
      <c t="s" s="30" r="L1688">
        <v>183</v>
      </c>
      <c s="30" r="M1688">
        <v>26</v>
      </c>
      <c s="26" r="N1688">
        <v>2.6</v>
      </c>
      <c s="23" r="O1688">
        <v>0.008</v>
      </c>
      <c s="7" r="P1688"/>
      <c s="7" r="Q1688"/>
      <c s="7" r="R1688">
        <f>IF((P1688&gt;0),O1688,0)</f>
        <v>0</v>
      </c>
      <c t="str" r="S1688">
        <f>CONCATENATE(F1688,E1688)</f>
        <v>NON FTLNON FTL</v>
      </c>
    </row>
    <row r="1689">
      <c t="s" s="7" r="A1689">
        <v>201</v>
      </c>
      <c s="7" r="B1689">
        <v>1716</v>
      </c>
      <c s="30" r="C1689">
        <v>5</v>
      </c>
      <c t="s" s="30" r="D1689">
        <v>136</v>
      </c>
      <c t="s" s="30" r="E1689">
        <v>4</v>
      </c>
      <c t="s" s="30" r="F1689">
        <v>4</v>
      </c>
      <c t="s" s="30" r="G1689">
        <v>259</v>
      </c>
      <c t="str" s="12" r="H1689">
        <f>HYPERLINK("http://sofifa.com/en/fifa13winter/player/147296-assani-lukimya","A. Lukimya")</f>
        <v>A. Lukimya</v>
      </c>
      <c s="30" r="I1689">
        <v>74</v>
      </c>
      <c t="s" s="30" r="J1689">
        <v>113</v>
      </c>
      <c t="s" s="30" r="K1689">
        <v>152</v>
      </c>
      <c t="s" s="30" r="L1689">
        <v>191</v>
      </c>
      <c s="30" r="M1689">
        <v>26</v>
      </c>
      <c s="26" r="N1689">
        <v>3.6</v>
      </c>
      <c s="23" r="O1689">
        <v>0.011</v>
      </c>
      <c s="7" r="P1689"/>
      <c s="7" r="Q1689"/>
      <c s="7" r="R1689">
        <f>IF((P1689&gt;0),O1689,0)</f>
        <v>0</v>
      </c>
      <c t="str" r="S1689">
        <f>CONCATENATE(F1689,E1689)</f>
        <v>NON FTLNON FTL</v>
      </c>
    </row>
    <row r="1690">
      <c t="s" s="7" r="A1690">
        <v>201</v>
      </c>
      <c s="7" r="B1690">
        <v>1717</v>
      </c>
      <c s="30" r="C1690">
        <v>10</v>
      </c>
      <c t="s" s="30" r="D1690">
        <v>136</v>
      </c>
      <c t="s" s="30" r="E1690">
        <v>4</v>
      </c>
      <c t="s" s="30" r="F1690">
        <v>4</v>
      </c>
      <c t="s" s="30" r="G1690">
        <v>259</v>
      </c>
      <c t="str" s="12" r="H1690">
        <f>HYPERLINK("http://sofifa.com/en/fifa13winter/player/148816-mehmet-ekici","M. Ekici")</f>
        <v>M. Ekici</v>
      </c>
      <c s="30" r="I1690">
        <v>74</v>
      </c>
      <c t="s" s="30" r="J1690">
        <v>162</v>
      </c>
      <c t="s" s="30" r="K1690">
        <v>114</v>
      </c>
      <c t="s" s="30" r="L1690">
        <v>158</v>
      </c>
      <c s="30" r="M1690">
        <v>22</v>
      </c>
      <c s="26" r="N1690">
        <v>4.4</v>
      </c>
      <c s="23" r="O1690">
        <v>0.01</v>
      </c>
      <c s="7" r="P1690"/>
      <c s="7" r="Q1690"/>
      <c s="7" r="R1690">
        <f>IF((P1690&gt;0),O1690,0)</f>
        <v>0</v>
      </c>
      <c t="str" r="S1690">
        <f>CONCATENATE(F1690,E1690)</f>
        <v>NON FTLNON FTL</v>
      </c>
    </row>
    <row r="1691">
      <c t="s" s="7" r="A1691">
        <v>201</v>
      </c>
      <c s="7" r="B1691">
        <v>1718</v>
      </c>
      <c s="30" r="C1691">
        <v>20</v>
      </c>
      <c t="s" s="30" r="D1691">
        <v>147</v>
      </c>
      <c t="s" s="30" r="E1691">
        <v>4</v>
      </c>
      <c t="s" s="30" r="F1691">
        <v>4</v>
      </c>
      <c t="s" s="30" r="G1691">
        <v>259</v>
      </c>
      <c t="str" s="12" r="H1691">
        <f>HYPERLINK("http://sofifa.com/en/fifa13winter/player/148159-raphael-wolf","R. Wolf")</f>
        <v>R. Wolf</v>
      </c>
      <c s="30" r="I1691">
        <v>68</v>
      </c>
      <c t="s" s="30" r="J1691">
        <v>106</v>
      </c>
      <c t="s" s="30" r="K1691">
        <v>152</v>
      </c>
      <c t="s" s="30" r="L1691">
        <v>180</v>
      </c>
      <c s="30" r="M1691">
        <v>24</v>
      </c>
      <c s="26" r="N1691">
        <v>1.3</v>
      </c>
      <c s="23" r="O1691">
        <v>0.006</v>
      </c>
      <c s="7" r="P1691"/>
      <c s="7" r="Q1691"/>
      <c s="7" r="R1691">
        <f>IF((P1691&gt;0),O1691,0)</f>
        <v>0</v>
      </c>
      <c t="str" r="S1691">
        <f>CONCATENATE(F1691,E1691)</f>
        <v>NON FTLNON FTL</v>
      </c>
    </row>
    <row r="1692">
      <c t="s" s="7" r="A1692">
        <v>201</v>
      </c>
      <c s="7" r="B1692">
        <v>1719</v>
      </c>
      <c s="30" r="C1692">
        <v>27</v>
      </c>
      <c t="s" s="30" r="D1692">
        <v>147</v>
      </c>
      <c t="s" s="30" r="E1692">
        <v>4</v>
      </c>
      <c t="s" s="30" r="F1692">
        <v>4</v>
      </c>
      <c t="s" s="30" r="G1692">
        <v>259</v>
      </c>
      <c t="str" s="12" r="H1692">
        <f>HYPERLINK("http://sofifa.com/en/fifa13winter/player/149633-johannes-wurtz","J. Wurtz")</f>
        <v>J. Wurtz</v>
      </c>
      <c s="30" r="I1692">
        <v>63</v>
      </c>
      <c t="s" s="30" r="J1692">
        <v>162</v>
      </c>
      <c t="s" s="30" r="K1692">
        <v>143</v>
      </c>
      <c t="s" s="30" r="L1692">
        <v>160</v>
      </c>
      <c s="30" r="M1692">
        <v>20</v>
      </c>
      <c s="26" r="N1692">
        <v>1</v>
      </c>
      <c s="23" r="O1692">
        <v>0.003</v>
      </c>
      <c s="7" r="P1692"/>
      <c s="7" r="Q1692"/>
      <c s="7" r="R1692">
        <f>IF((P1692&gt;0),O1692,0)</f>
        <v>0</v>
      </c>
      <c t="str" r="S1692">
        <f>CONCATENATE(F1692,E1692)</f>
        <v>NON FTLNON FTL</v>
      </c>
    </row>
    <row r="1693">
      <c t="s" s="7" r="A1693">
        <v>201</v>
      </c>
      <c s="7" r="B1693">
        <v>1720</v>
      </c>
      <c s="30" r="C1693">
        <v>29</v>
      </c>
      <c t="s" s="30" r="D1693">
        <v>147</v>
      </c>
      <c t="s" s="30" r="E1693">
        <v>4</v>
      </c>
      <c t="s" s="30" r="F1693">
        <v>4</v>
      </c>
      <c t="s" s="30" r="G1693">
        <v>259</v>
      </c>
      <c t="str" s="12" r="H1693">
        <f>HYPERLINK("http://sofifa.com/en/fifa13winter/player/150214-cimo-rocker","C. Röcker")</f>
        <v>C. Röcker</v>
      </c>
      <c s="30" r="I1693">
        <v>59</v>
      </c>
      <c t="s" s="30" r="J1693">
        <v>117</v>
      </c>
      <c t="s" s="30" r="K1693">
        <v>173</v>
      </c>
      <c t="s" s="30" r="L1693">
        <v>138</v>
      </c>
      <c s="30" r="M1693">
        <v>18</v>
      </c>
      <c s="26" r="N1693">
        <v>0.4</v>
      </c>
      <c s="23" r="O1693">
        <v>0.002</v>
      </c>
      <c s="7" r="P1693"/>
      <c s="7" r="Q1693"/>
      <c s="7" r="R1693">
        <f>IF((P1693&gt;0),O1693,0)</f>
        <v>0</v>
      </c>
      <c t="str" r="S1693">
        <f>CONCATENATE(F1693,E1693)</f>
        <v>NON FTLNON FTL</v>
      </c>
    </row>
    <row r="1694">
      <c t="s" s="7" r="A1694">
        <v>201</v>
      </c>
      <c s="7" r="B1694">
        <v>1721</v>
      </c>
      <c s="30" r="C1694">
        <v>31</v>
      </c>
      <c t="s" s="30" r="D1694">
        <v>147</v>
      </c>
      <c t="s" s="30" r="E1694">
        <v>4</v>
      </c>
      <c t="s" s="30" r="F1694">
        <v>4</v>
      </c>
      <c t="s" s="30" r="G1694">
        <v>259</v>
      </c>
      <c t="str" s="12" r="H1694">
        <f>HYPERLINK("http://sofifa.com/en/fifa13winter/player/149159-predrag-stevanovic","P. Stevanović")</f>
        <v>P. Stevanović</v>
      </c>
      <c s="30" r="I1694">
        <v>62</v>
      </c>
      <c t="s" s="30" r="J1694">
        <v>162</v>
      </c>
      <c t="s" s="30" r="K1694">
        <v>118</v>
      </c>
      <c t="s" s="30" r="L1694">
        <v>168</v>
      </c>
      <c s="30" r="M1694">
        <v>21</v>
      </c>
      <c s="26" r="N1694">
        <v>0.8</v>
      </c>
      <c s="23" r="O1694">
        <v>0.003</v>
      </c>
      <c s="7" r="P1694"/>
      <c s="7" r="Q1694"/>
      <c s="7" r="R1694">
        <f>IF((P1694&gt;0),O1694,0)</f>
        <v>0</v>
      </c>
      <c t="str" r="S1694">
        <f>CONCATENATE(F1694,E1694)</f>
        <v>NON FTLNON FTL</v>
      </c>
    </row>
    <row r="1695">
      <c t="s" s="7" r="A1695">
        <v>201</v>
      </c>
      <c s="7" r="B1695">
        <v>1722</v>
      </c>
      <c s="30" r="C1695">
        <v>28</v>
      </c>
      <c t="s" s="30" r="D1695">
        <v>147</v>
      </c>
      <c t="s" s="30" r="E1695">
        <v>4</v>
      </c>
      <c t="s" s="30" r="F1695">
        <v>4</v>
      </c>
      <c t="s" s="30" r="G1695">
        <v>259</v>
      </c>
      <c t="str" s="12" r="H1695">
        <f>HYPERLINK("http://sofifa.com/en/fifa13winter/player/150236-levent-aycicek","L. Aycicek")</f>
        <v>L. Aycicek</v>
      </c>
      <c s="30" r="I1695">
        <v>59</v>
      </c>
      <c t="s" s="30" r="J1695">
        <v>162</v>
      </c>
      <c t="s" s="30" r="K1695">
        <v>205</v>
      </c>
      <c t="s" s="30" r="L1695">
        <v>125</v>
      </c>
      <c s="30" r="M1695">
        <v>18</v>
      </c>
      <c s="26" r="N1695">
        <v>0.5</v>
      </c>
      <c s="23" r="O1695">
        <v>0.002</v>
      </c>
      <c s="7" r="P1695"/>
      <c s="7" r="Q1695"/>
      <c s="7" r="R1695">
        <f>IF((P1695&gt;0),O1695,0)</f>
        <v>0</v>
      </c>
      <c t="str" r="S1695">
        <f>CONCATENATE(F1695,E1695)</f>
        <v>NON FTLNON FTL</v>
      </c>
    </row>
    <row r="1696">
      <c t="s" s="7" r="A1696">
        <v>201</v>
      </c>
      <c s="7" r="B1696">
        <v>1723</v>
      </c>
      <c s="30" r="C1696">
        <v>36</v>
      </c>
      <c t="s" s="30" r="D1696">
        <v>147</v>
      </c>
      <c t="s" s="30" r="E1696">
        <v>4</v>
      </c>
      <c t="s" s="30" r="F1696">
        <v>4</v>
      </c>
      <c t="s" s="30" r="G1696">
        <v>259</v>
      </c>
      <c t="str" s="12" r="H1696">
        <f>HYPERLINK("http://sofifa.com/en/fifa13winter/player/148450-max-wegner","M. Wegner")</f>
        <v>M. Wegner</v>
      </c>
      <c s="30" r="I1696">
        <v>60</v>
      </c>
      <c t="s" s="30" r="J1696">
        <v>129</v>
      </c>
      <c t="s" s="30" r="K1696">
        <v>118</v>
      </c>
      <c t="s" s="30" r="L1696">
        <v>161</v>
      </c>
      <c s="30" r="M1696">
        <v>23</v>
      </c>
      <c s="26" r="N1696">
        <v>0.6</v>
      </c>
      <c s="23" r="O1696">
        <v>0.003</v>
      </c>
      <c s="7" r="P1696"/>
      <c s="7" r="Q1696"/>
      <c s="7" r="R1696">
        <f>IF((P1696&gt;0),O1696,0)</f>
        <v>0</v>
      </c>
      <c t="str" r="S1696">
        <f>CONCATENATE(F1696,E1696)</f>
        <v>NON FTLNON FTL</v>
      </c>
    </row>
    <row r="1697">
      <c t="s" s="7" r="A1697">
        <v>201</v>
      </c>
      <c s="7" r="B1697">
        <v>1724</v>
      </c>
      <c s="30" r="C1697">
        <v>18</v>
      </c>
      <c t="s" s="30" r="D1697">
        <v>147</v>
      </c>
      <c t="s" s="30" r="E1697">
        <v>4</v>
      </c>
      <c t="s" s="30" r="F1697">
        <v>4</v>
      </c>
      <c t="s" s="30" r="G1697">
        <v>259</v>
      </c>
      <c t="str" s="12" r="H1697">
        <f>HYPERLINK("http://sofifa.com/en/fifa13winter/player/149168-felix-kroos","F. Kroos")</f>
        <v>F. Kroos</v>
      </c>
      <c s="30" r="I1697">
        <v>64</v>
      </c>
      <c t="s" s="30" r="J1697">
        <v>154</v>
      </c>
      <c t="s" s="30" r="K1697">
        <v>167</v>
      </c>
      <c t="s" s="30" r="L1697">
        <v>122</v>
      </c>
      <c s="30" r="M1697">
        <v>21</v>
      </c>
      <c s="26" r="N1697">
        <v>0.9</v>
      </c>
      <c s="23" r="O1697">
        <v>0.004</v>
      </c>
      <c s="7" r="P1697"/>
      <c s="7" r="Q1697"/>
      <c s="7" r="R1697">
        <f>IF((P1697&gt;0),O1697,0)</f>
        <v>0</v>
      </c>
      <c t="str" r="S1697">
        <f>CONCATENATE(F1697,E1697)</f>
        <v>NON FTLNON FTL</v>
      </c>
    </row>
    <row r="1698">
      <c t="s" s="7" r="A1698">
        <v>201</v>
      </c>
      <c s="7" r="B1698">
        <v>1725</v>
      </c>
      <c s="30" r="C1698">
        <v>34</v>
      </c>
      <c t="s" s="30" r="D1698">
        <v>147</v>
      </c>
      <c t="s" s="30" r="E1698">
        <v>4</v>
      </c>
      <c t="s" s="30" r="F1698">
        <v>4</v>
      </c>
      <c t="s" s="30" r="G1698">
        <v>259</v>
      </c>
      <c t="str" s="12" r="H1698">
        <f>HYPERLINK("http://sofifa.com/en/fifa13winter/player/149509-aleksandar-stevanovic","A. Stevanović")</f>
        <v>A. Stevanović</v>
      </c>
      <c s="30" r="I1698">
        <v>63</v>
      </c>
      <c t="s" s="30" r="J1698">
        <v>109</v>
      </c>
      <c t="s" s="30" r="K1698">
        <v>139</v>
      </c>
      <c t="s" s="30" r="L1698">
        <v>149</v>
      </c>
      <c s="30" r="M1698">
        <v>20</v>
      </c>
      <c s="26" r="N1698">
        <v>0.8</v>
      </c>
      <c s="23" r="O1698">
        <v>0.003</v>
      </c>
      <c s="7" r="P1698"/>
      <c s="7" r="Q1698"/>
      <c s="7" r="R1698">
        <f>IF((P1698&gt;0),O1698,0)</f>
        <v>0</v>
      </c>
      <c t="str" r="S1698">
        <f>CONCATENATE(F1698,E1698)</f>
        <v>NON FTLNON FTL</v>
      </c>
    </row>
    <row r="1699">
      <c t="s" s="7" r="A1699">
        <v>201</v>
      </c>
      <c s="7" r="B1699">
        <v>1726</v>
      </c>
      <c s="30" r="C1699">
        <v>33</v>
      </c>
      <c t="s" s="30" r="D1699">
        <v>147</v>
      </c>
      <c t="s" s="30" r="E1699">
        <v>4</v>
      </c>
      <c t="s" s="30" r="F1699">
        <v>4</v>
      </c>
      <c t="s" s="30" r="G1699">
        <v>259</v>
      </c>
      <c t="str" s="12" r="H1699">
        <f>HYPERLINK("http://sofifa.com/en/fifa13winter/player/145377-christian-vander","C. Vander")</f>
        <v>C. Vander</v>
      </c>
      <c s="30" r="I1699">
        <v>64</v>
      </c>
      <c t="s" s="30" r="J1699">
        <v>106</v>
      </c>
      <c t="s" s="30" r="K1699">
        <v>176</v>
      </c>
      <c t="s" s="30" r="L1699">
        <v>178</v>
      </c>
      <c s="30" r="M1699">
        <v>31</v>
      </c>
      <c s="26" r="N1699">
        <v>0.6</v>
      </c>
      <c s="23" r="O1699">
        <v>0.005</v>
      </c>
      <c s="7" r="P1699"/>
      <c s="7" r="Q1699"/>
      <c s="7" r="R1699">
        <f>IF((P1699&gt;0),O1699,0)</f>
        <v>0</v>
      </c>
      <c t="str" r="S1699">
        <f>CONCATENATE(F1699,E1699)</f>
        <v>NON FTLNON FTL</v>
      </c>
    </row>
    <row r="1700">
      <c t="s" s="7" r="A1700">
        <v>201</v>
      </c>
      <c s="7" r="B1700">
        <v>1727</v>
      </c>
      <c s="30" r="C1700">
        <v>1</v>
      </c>
      <c t="s" s="30" r="D1700">
        <v>106</v>
      </c>
      <c t="s" s="30" r="E1700">
        <v>4</v>
      </c>
      <c t="s" s="30" r="F1700">
        <v>4</v>
      </c>
      <c t="s" s="30" r="G1700">
        <v>260</v>
      </c>
      <c t="str" s="12" r="H1700">
        <f>HYPERLINK("http://sofifa.com/en/fifa13winter/player/145979-casto-espinosa-barriga","Casto")</f>
        <v>Casto</v>
      </c>
      <c s="30" r="I1700">
        <v>70</v>
      </c>
      <c t="s" s="30" r="J1700">
        <v>106</v>
      </c>
      <c t="s" s="30" r="K1700">
        <v>143</v>
      </c>
      <c t="s" s="30" r="L1700">
        <v>138</v>
      </c>
      <c s="30" r="M1700">
        <v>30</v>
      </c>
      <c s="26" r="N1700">
        <v>1.3</v>
      </c>
      <c s="23" r="O1700">
        <v>0.008</v>
      </c>
      <c s="7" r="P1700"/>
      <c s="7" r="Q1700"/>
      <c s="7" r="R1700">
        <f>IF((P1700&gt;0),O1700,0)</f>
        <v>0</v>
      </c>
      <c t="str" r="S1700">
        <f>CONCATENATE(F1700,E1700)</f>
        <v>NON FTLNON FTL</v>
      </c>
    </row>
    <row r="1701">
      <c t="s" s="7" r="A1701">
        <v>201</v>
      </c>
      <c s="7" r="B1701">
        <v>1728</v>
      </c>
      <c s="30" r="C1701">
        <v>2</v>
      </c>
      <c t="s" s="30" r="D1701">
        <v>109</v>
      </c>
      <c t="s" s="30" r="E1701">
        <v>4</v>
      </c>
      <c t="s" s="30" r="F1701">
        <v>4</v>
      </c>
      <c t="s" s="30" r="G1701">
        <v>260</v>
      </c>
      <c t="str" s="12" r="H1701">
        <f>HYPERLINK("http://sofifa.com/en/fifa13winter/player/147043-javier-chica-torres","Chica")</f>
        <v>Chica</v>
      </c>
      <c s="30" r="I1701">
        <v>73</v>
      </c>
      <c t="s" s="30" r="J1701">
        <v>109</v>
      </c>
      <c t="s" s="30" r="K1701">
        <v>172</v>
      </c>
      <c t="s" s="30" r="L1701">
        <v>161</v>
      </c>
      <c s="30" r="M1701">
        <v>27</v>
      </c>
      <c s="26" r="N1701">
        <v>2.7</v>
      </c>
      <c s="23" r="O1701">
        <v>0.01</v>
      </c>
      <c s="7" r="P1701"/>
      <c s="7" r="Q1701"/>
      <c s="7" r="R1701">
        <f>IF((P1701&gt;0),O1701,0)</f>
        <v>0</v>
      </c>
      <c t="str" r="S1701">
        <f>CONCATENATE(F1701,E1701)</f>
        <v>NON FTLNON FTL</v>
      </c>
    </row>
    <row r="1702">
      <c t="s" s="7" r="A1702">
        <v>201</v>
      </c>
      <c s="7" r="B1702">
        <v>1729</v>
      </c>
      <c s="30" r="C1702">
        <v>12</v>
      </c>
      <c t="s" s="30" r="D1702">
        <v>112</v>
      </c>
      <c t="s" s="30" r="E1702">
        <v>4</v>
      </c>
      <c t="s" s="30" r="F1702">
        <v>4</v>
      </c>
      <c t="s" s="30" r="G1702">
        <v>260</v>
      </c>
      <c t="str" s="12" r="H1702">
        <f>HYPERLINK("http://sofifa.com/en/fifa13winter/player/146028-paulo-afonso-santos-junior","Paulão")</f>
        <v>Paulão</v>
      </c>
      <c s="30" r="I1702">
        <v>76</v>
      </c>
      <c t="s" s="30" r="J1702">
        <v>113</v>
      </c>
      <c t="s" s="30" r="K1702">
        <v>134</v>
      </c>
      <c t="s" s="30" r="L1702">
        <v>175</v>
      </c>
      <c s="30" r="M1702">
        <v>30</v>
      </c>
      <c s="26" r="N1702">
        <v>4.5</v>
      </c>
      <c s="23" r="O1702">
        <v>0.017</v>
      </c>
      <c s="7" r="P1702"/>
      <c s="7" r="Q1702"/>
      <c s="7" r="R1702">
        <f>IF((P1702&gt;0),O1702,0)</f>
        <v>0</v>
      </c>
      <c t="str" r="S1702">
        <f>CONCATENATE(F1702,E1702)</f>
        <v>NON FTLNON FTL</v>
      </c>
    </row>
    <row r="1703">
      <c t="s" s="7" r="A1703">
        <v>201</v>
      </c>
      <c s="7" r="B1703">
        <v>1730</v>
      </c>
      <c s="30" r="C1703">
        <v>4</v>
      </c>
      <c t="s" s="30" r="D1703">
        <v>116</v>
      </c>
      <c t="s" s="30" r="E1703">
        <v>4</v>
      </c>
      <c t="s" s="30" r="F1703">
        <v>4</v>
      </c>
      <c t="s" s="30" r="G1703">
        <v>260</v>
      </c>
      <c t="str" s="12" r="H1703">
        <f>HYPERLINK("http://sofifa.com/en/fifa13winter/player/146326-antonio-amaya-carazo","Amaya")</f>
        <v>Amaya</v>
      </c>
      <c s="30" r="I1703">
        <v>73</v>
      </c>
      <c t="s" s="30" r="J1703">
        <v>113</v>
      </c>
      <c t="s" s="30" r="K1703">
        <v>165</v>
      </c>
      <c t="s" s="30" r="L1703">
        <v>180</v>
      </c>
      <c s="30" r="M1703">
        <v>29</v>
      </c>
      <c s="26" r="N1703">
        <v>2.9</v>
      </c>
      <c s="23" r="O1703">
        <v>0.011</v>
      </c>
      <c s="7" r="P1703"/>
      <c s="7" r="Q1703"/>
      <c s="7" r="R1703">
        <f>IF((P1703&gt;0),O1703,0)</f>
        <v>0</v>
      </c>
      <c t="str" r="S1703">
        <f>CONCATENATE(F1703,E1703)</f>
        <v>NON FTLNON FTL</v>
      </c>
    </row>
    <row r="1704">
      <c t="s" s="7" r="A1704">
        <v>201</v>
      </c>
      <c s="7" r="B1704">
        <v>1731</v>
      </c>
      <c s="30" r="C1704">
        <v>23</v>
      </c>
      <c t="s" s="30" r="D1704">
        <v>117</v>
      </c>
      <c t="s" s="30" r="E1704">
        <v>4</v>
      </c>
      <c t="s" s="30" r="F1704">
        <v>4</v>
      </c>
      <c t="s" s="30" r="G1704">
        <v>260</v>
      </c>
      <c t="str" s="12" r="H1704">
        <f>HYPERLINK("http://sofifa.com/en/fifa13winter/player/145255-ignacio-perez-santamaria","Nacho")</f>
        <v>Nacho</v>
      </c>
      <c s="30" r="I1704">
        <v>74</v>
      </c>
      <c t="s" s="30" r="J1704">
        <v>117</v>
      </c>
      <c t="s" s="30" r="K1704">
        <v>139</v>
      </c>
      <c t="s" s="30" r="L1704">
        <v>122</v>
      </c>
      <c s="30" r="M1704">
        <v>32</v>
      </c>
      <c s="26" r="N1704">
        <v>2.6</v>
      </c>
      <c s="23" r="O1704">
        <v>0.013</v>
      </c>
      <c s="7" r="P1704"/>
      <c s="7" r="Q1704"/>
      <c s="7" r="R1704">
        <f>IF((P1704&gt;0),O1704,0)</f>
        <v>0</v>
      </c>
      <c t="str" r="S1704">
        <f>CONCATENATE(F1704,E1704)</f>
        <v>NON FTLNON FTL</v>
      </c>
    </row>
    <row r="1705">
      <c t="s" s="7" r="A1705">
        <v>201</v>
      </c>
      <c s="7" r="B1705">
        <v>1732</v>
      </c>
      <c s="30" r="C1705">
        <v>8</v>
      </c>
      <c t="s" s="30" r="D1705">
        <v>186</v>
      </c>
      <c t="s" s="30" r="E1705">
        <v>4</v>
      </c>
      <c t="s" s="30" r="F1705">
        <v>4</v>
      </c>
      <c t="s" s="30" r="G1705">
        <v>260</v>
      </c>
      <c t="str" s="12" r="H1705">
        <f>HYPERLINK("http://sofifa.com/en/fifa13winter/player/148483-ruben-perez-del-marmol","Rubén Pérez")</f>
        <v>Rubén Pérez</v>
      </c>
      <c s="30" r="I1705">
        <v>74</v>
      </c>
      <c t="s" s="30" r="J1705">
        <v>154</v>
      </c>
      <c t="s" s="30" r="K1705">
        <v>118</v>
      </c>
      <c t="s" s="30" r="L1705">
        <v>146</v>
      </c>
      <c s="30" r="M1705">
        <v>23</v>
      </c>
      <c s="26" r="N1705">
        <v>3.3</v>
      </c>
      <c s="23" r="O1705">
        <v>0.01</v>
      </c>
      <c s="7" r="P1705"/>
      <c s="7" r="Q1705"/>
      <c s="7" r="R1705">
        <f>IF((P1705&gt;0),O1705,0)</f>
        <v>0</v>
      </c>
      <c t="str" r="S1705">
        <f>CONCATENATE(F1705,E1705)</f>
        <v>NON FTLNON FTL</v>
      </c>
    </row>
    <row r="1706">
      <c t="s" s="7" r="A1706">
        <v>201</v>
      </c>
      <c s="7" r="B1706">
        <v>1733</v>
      </c>
      <c s="30" r="C1706">
        <v>10</v>
      </c>
      <c t="s" s="30" r="D1706">
        <v>174</v>
      </c>
      <c t="s" s="30" r="E1706">
        <v>4</v>
      </c>
      <c t="s" s="30" r="F1706">
        <v>4</v>
      </c>
      <c t="s" s="30" r="G1706">
        <v>260</v>
      </c>
      <c t="str" s="12" r="H1706">
        <f>HYPERLINK("http://sofifa.com/en/fifa13winter/player/147686-benat-etxebarria-urkiaga","Beñat")</f>
        <v>Beñat</v>
      </c>
      <c s="30" r="I1706">
        <v>82</v>
      </c>
      <c t="s" s="30" r="J1706">
        <v>124</v>
      </c>
      <c t="s" s="30" r="K1706">
        <v>139</v>
      </c>
      <c t="s" s="30" r="L1706">
        <v>146</v>
      </c>
      <c s="30" r="M1706">
        <v>25</v>
      </c>
      <c s="26" r="N1706">
        <v>14.4</v>
      </c>
      <c s="23" r="O1706">
        <v>0.053</v>
      </c>
      <c s="7" r="P1706"/>
      <c s="7" r="Q1706"/>
      <c s="7" r="R1706">
        <f>IF((P1706&gt;0),O1706,0)</f>
        <v>0</v>
      </c>
      <c t="str" r="S1706">
        <f>CONCATENATE(F1706,E1706)</f>
        <v>NON FTLNON FTL</v>
      </c>
    </row>
    <row r="1707">
      <c t="s" s="7" r="A1707">
        <v>201</v>
      </c>
      <c s="7" r="B1707">
        <v>1734</v>
      </c>
      <c s="30" r="C1707">
        <v>24</v>
      </c>
      <c t="s" s="30" r="D1707">
        <v>234</v>
      </c>
      <c t="s" s="30" r="E1707">
        <v>4</v>
      </c>
      <c t="s" s="30" r="F1707">
        <v>4</v>
      </c>
      <c t="s" s="30" r="G1707">
        <v>260</v>
      </c>
      <c t="str" s="12" r="H1707">
        <f>HYPERLINK("http://sofifa.com/en/fifa13winter/player/145623-ruben-castro-martin","Rubén Castro")</f>
        <v>Rubén Castro</v>
      </c>
      <c s="30" r="I1707">
        <v>78</v>
      </c>
      <c t="s" s="30" r="J1707">
        <v>129</v>
      </c>
      <c t="s" s="30" r="K1707">
        <v>182</v>
      </c>
      <c t="s" s="30" r="L1707">
        <v>146</v>
      </c>
      <c s="30" r="M1707">
        <v>31</v>
      </c>
      <c s="26" r="N1707">
        <v>6.2</v>
      </c>
      <c s="23" r="O1707">
        <v>0.022</v>
      </c>
      <c s="7" r="P1707"/>
      <c s="7" r="Q1707"/>
      <c s="7" r="R1707">
        <f>IF((P1707&gt;0),O1707,0)</f>
        <v>0</v>
      </c>
      <c t="str" r="S1707">
        <f>CONCATENATE(F1707,E1707)</f>
        <v>NON FTLNON FTL</v>
      </c>
    </row>
    <row r="1708">
      <c t="s" s="7" r="A1708">
        <v>201</v>
      </c>
      <c s="7" r="B1708">
        <v>1735</v>
      </c>
      <c s="30" r="C1708">
        <v>22</v>
      </c>
      <c t="s" s="30" r="D1708">
        <v>162</v>
      </c>
      <c t="s" s="30" r="E1708">
        <v>4</v>
      </c>
      <c t="s" s="30" r="F1708">
        <v>4</v>
      </c>
      <c t="s" s="30" r="G1708">
        <v>260</v>
      </c>
      <c t="str" s="12" r="H1708">
        <f>HYPERLINK("http://sofifa.com/en/fifa13winter/player/148025-dorlan-pabon","D. Pabón")</f>
        <v>D. Pabón</v>
      </c>
      <c s="30" r="I1708">
        <v>76</v>
      </c>
      <c t="s" s="30" r="J1708">
        <v>129</v>
      </c>
      <c t="s" s="30" r="K1708">
        <v>148</v>
      </c>
      <c t="s" s="30" r="L1708">
        <v>115</v>
      </c>
      <c s="30" r="M1708">
        <v>24</v>
      </c>
      <c s="26" r="N1708">
        <v>6</v>
      </c>
      <c s="23" r="O1708">
        <v>0.015</v>
      </c>
      <c s="7" r="P1708"/>
      <c s="7" r="Q1708"/>
      <c s="7" r="R1708">
        <f>IF((P1708&gt;0),O1708,0)</f>
        <v>0</v>
      </c>
      <c t="str" r="S1708">
        <f>CONCATENATE(F1708,E1708)</f>
        <v>NON FTLNON FTL</v>
      </c>
    </row>
    <row r="1709">
      <c t="s" s="7" r="A1709">
        <v>201</v>
      </c>
      <c s="7" r="B1709">
        <v>1736</v>
      </c>
      <c s="30" r="C1709">
        <v>14</v>
      </c>
      <c t="s" s="30" r="D1709">
        <v>235</v>
      </c>
      <c t="s" s="30" r="E1709">
        <v>4</v>
      </c>
      <c t="s" s="30" r="F1709">
        <v>4</v>
      </c>
      <c t="s" s="30" r="G1709">
        <v>260</v>
      </c>
      <c t="str" s="12" r="H1709">
        <f>HYPERLINK("http://sofifa.com/en/fifa13winter/player/146618-salvador-sevilla-lopez","Salva Sevilla")</f>
        <v>Salva Sevilla</v>
      </c>
      <c s="30" r="I1709">
        <v>74</v>
      </c>
      <c t="s" s="30" r="J1709">
        <v>162</v>
      </c>
      <c t="s" s="30" r="K1709">
        <v>118</v>
      </c>
      <c t="s" s="30" r="L1709">
        <v>122</v>
      </c>
      <c s="30" r="M1709">
        <v>28</v>
      </c>
      <c s="26" r="N1709">
        <v>3.7</v>
      </c>
      <c s="23" r="O1709">
        <v>0.011</v>
      </c>
      <c s="7" r="P1709"/>
      <c s="7" r="Q1709"/>
      <c s="7" r="R1709">
        <f>IF((P1709&gt;0),O1709,0)</f>
        <v>0</v>
      </c>
      <c t="str" r="S1709">
        <f>CONCATENATE(F1709,E1709)</f>
        <v>NON FTLNON FTL</v>
      </c>
    </row>
    <row r="1710">
      <c t="s" s="7" r="A1710">
        <v>201</v>
      </c>
      <c s="7" r="B1710">
        <v>1737</v>
      </c>
      <c s="30" r="C1710">
        <v>19</v>
      </c>
      <c t="s" s="30" r="D1710">
        <v>129</v>
      </c>
      <c t="s" s="30" r="E1710">
        <v>4</v>
      </c>
      <c t="s" s="30" r="F1710">
        <v>4</v>
      </c>
      <c t="s" s="30" r="G1710">
        <v>260</v>
      </c>
      <c t="str" s="12" r="H1710">
        <f>HYPERLINK("http://sofifa.com/en/fifa13winter/player/145922-jorge-molina-vidal","Jorge Molina")</f>
        <v>Jorge Molina</v>
      </c>
      <c s="30" r="I1710">
        <v>75</v>
      </c>
      <c t="s" s="30" r="J1710">
        <v>129</v>
      </c>
      <c t="s" s="30" r="K1710">
        <v>134</v>
      </c>
      <c t="s" s="30" r="L1710">
        <v>192</v>
      </c>
      <c s="30" r="M1710">
        <v>30</v>
      </c>
      <c s="26" r="N1710">
        <v>4.6</v>
      </c>
      <c s="23" r="O1710">
        <v>0.014</v>
      </c>
      <c s="7" r="P1710"/>
      <c s="7" r="Q1710"/>
      <c s="7" r="R1710">
        <f>IF((P1710&gt;0),O1710,0)</f>
        <v>0</v>
      </c>
      <c t="str" r="S1710">
        <f>CONCATENATE(F1710,E1710)</f>
        <v>NON FTLNON FTL</v>
      </c>
    </row>
    <row r="1711">
      <c t="s" s="7" r="A1711">
        <v>201</v>
      </c>
      <c s="7" r="B1711">
        <v>1738</v>
      </c>
      <c s="30" r="C1711">
        <v>34</v>
      </c>
      <c t="s" s="30" r="D1711">
        <v>136</v>
      </c>
      <c t="s" s="30" r="E1711">
        <v>4</v>
      </c>
      <c t="s" s="30" r="F1711">
        <v>4</v>
      </c>
      <c t="s" s="30" r="G1711">
        <v>260</v>
      </c>
      <c t="str" s="12" r="H1711">
        <f>HYPERLINK("http://sofifa.com/en/fifa13winter/player/150088-carlos-garcia-quesada","Carlos García")</f>
        <v>Carlos García</v>
      </c>
      <c s="30" r="I1711">
        <v>58</v>
      </c>
      <c t="s" s="30" r="J1711">
        <v>124</v>
      </c>
      <c t="s" s="30" r="K1711">
        <v>197</v>
      </c>
      <c t="s" s="30" r="L1711">
        <v>261</v>
      </c>
      <c s="30" r="M1711">
        <v>18</v>
      </c>
      <c s="26" r="N1711">
        <v>0.3</v>
      </c>
      <c s="23" r="O1711">
        <v>0.002</v>
      </c>
      <c s="7" r="P1711"/>
      <c s="7" r="Q1711"/>
      <c s="7" r="R1711">
        <f>IF((P1711&gt;0),O1711,0)</f>
        <v>0</v>
      </c>
      <c t="str" r="S1711">
        <f>CONCATENATE(F1711,E1711)</f>
        <v>NON FTLNON FTL</v>
      </c>
    </row>
    <row r="1712">
      <c t="s" s="7" r="A1712">
        <v>201</v>
      </c>
      <c s="7" r="B1712">
        <v>1739</v>
      </c>
      <c s="30" r="C1712">
        <v>17</v>
      </c>
      <c t="s" s="30" r="D1712">
        <v>136</v>
      </c>
      <c t="s" s="30" r="E1712">
        <v>4</v>
      </c>
      <c t="s" s="30" r="F1712">
        <v>4</v>
      </c>
      <c t="s" s="30" r="G1712">
        <v>260</v>
      </c>
      <c t="str" s="12" r="H1712">
        <f>HYPERLINK("http://sofifa.com/en/fifa13winter/player/148821-juan-carlos-perez-lopez","Juan Carlos")</f>
        <v>Juan Carlos</v>
      </c>
      <c s="30" r="I1712">
        <v>73</v>
      </c>
      <c t="s" s="30" r="J1712">
        <v>170</v>
      </c>
      <c t="s" s="30" r="K1712">
        <v>118</v>
      </c>
      <c t="s" s="30" r="L1712">
        <v>111</v>
      </c>
      <c s="30" r="M1712">
        <v>22</v>
      </c>
      <c s="26" r="N1712">
        <v>3.5</v>
      </c>
      <c s="23" r="O1712">
        <v>0.009</v>
      </c>
      <c s="7" r="P1712"/>
      <c s="7" r="Q1712"/>
      <c s="7" r="R1712">
        <f>IF((P1712&gt;0),O1712,0)</f>
        <v>0</v>
      </c>
      <c t="str" r="S1712">
        <f>CONCATENATE(F1712,E1712)</f>
        <v>NON FTLNON FTL</v>
      </c>
    </row>
    <row r="1713">
      <c t="s" s="7" r="A1713">
        <v>201</v>
      </c>
      <c s="7" r="B1713">
        <v>1740</v>
      </c>
      <c s="30" r="C1713">
        <v>15</v>
      </c>
      <c t="s" s="30" r="D1713">
        <v>136</v>
      </c>
      <c t="s" s="30" r="E1713">
        <v>4</v>
      </c>
      <c t="s" s="30" r="F1713">
        <v>4</v>
      </c>
      <c t="s" s="30" r="G1713">
        <v>260</v>
      </c>
      <c t="str" s="12" r="H1713">
        <f>HYPERLINK("http://sofifa.com/en/fifa13winter/player/149503-joel-campbell","J. Campbell")</f>
        <v>J. Campbell</v>
      </c>
      <c s="30" r="I1713">
        <v>74</v>
      </c>
      <c t="s" s="30" r="J1713">
        <v>157</v>
      </c>
      <c t="s" s="30" r="K1713">
        <v>118</v>
      </c>
      <c t="s" s="30" r="L1713">
        <v>146</v>
      </c>
      <c s="30" r="M1713">
        <v>20</v>
      </c>
      <c s="26" r="N1713">
        <v>4.1</v>
      </c>
      <c s="23" r="O1713">
        <v>0.009</v>
      </c>
      <c s="7" r="P1713"/>
      <c s="7" r="Q1713"/>
      <c s="7" r="R1713">
        <f>IF((P1713&gt;0),O1713,0)</f>
        <v>0</v>
      </c>
      <c t="str" r="S1713">
        <f>CONCATENATE(F1713,E1713)</f>
        <v>NON FTLNON FTL</v>
      </c>
    </row>
    <row r="1714">
      <c t="s" s="7" r="A1714">
        <v>201</v>
      </c>
      <c s="7" r="B1714">
        <v>1741</v>
      </c>
      <c s="30" r="C1714">
        <v>9</v>
      </c>
      <c t="s" s="30" r="D1714">
        <v>136</v>
      </c>
      <c t="s" s="30" r="E1714">
        <v>4</v>
      </c>
      <c t="s" s="30" r="F1714">
        <v>4</v>
      </c>
      <c t="s" s="30" r="G1714">
        <v>260</v>
      </c>
      <c t="str" s="12" r="H1714">
        <f>HYPERLINK("http://sofifa.com/en/fifa13winter/player/150448-alvaro-vadillo-cifuentes","Vadillo")</f>
        <v>Vadillo</v>
      </c>
      <c s="30" r="I1714">
        <v>69</v>
      </c>
      <c t="s" s="30" r="J1714">
        <v>157</v>
      </c>
      <c t="s" s="30" r="K1714">
        <v>114</v>
      </c>
      <c t="s" s="30" r="L1714">
        <v>168</v>
      </c>
      <c s="30" r="M1714">
        <v>17</v>
      </c>
      <c s="26" r="N1714">
        <v>2.3</v>
      </c>
      <c s="23" r="O1714">
        <v>0.005</v>
      </c>
      <c s="7" r="P1714"/>
      <c s="7" r="Q1714"/>
      <c s="7" r="R1714">
        <f>IF((P1714&gt;0),O1714,0)</f>
        <v>0</v>
      </c>
      <c t="str" r="S1714">
        <f>CONCATENATE(F1714,E1714)</f>
        <v>NON FTLNON FTL</v>
      </c>
    </row>
    <row r="1715">
      <c t="s" s="7" r="A1715">
        <v>201</v>
      </c>
      <c s="7" r="B1715">
        <v>1742</v>
      </c>
      <c s="30" r="C1715">
        <v>6</v>
      </c>
      <c t="s" s="30" r="D1715">
        <v>136</v>
      </c>
      <c t="s" s="30" r="E1715">
        <v>4</v>
      </c>
      <c t="s" s="30" r="F1715">
        <v>4</v>
      </c>
      <c t="s" s="30" r="G1715">
        <v>260</v>
      </c>
      <c t="str" s="12" r="H1715">
        <f>HYPERLINK("http://sofifa.com/en/fifa13winter/player/148956-alejandro-martinez-sanchez","Alex Martínez")</f>
        <v>Alex Martínez</v>
      </c>
      <c s="30" r="I1715">
        <v>71</v>
      </c>
      <c t="s" s="30" r="J1715">
        <v>117</v>
      </c>
      <c t="s" s="30" r="K1715">
        <v>172</v>
      </c>
      <c t="s" s="30" r="L1715">
        <v>141</v>
      </c>
      <c s="30" r="M1715">
        <v>22</v>
      </c>
      <c s="26" r="N1715">
        <v>2.2</v>
      </c>
      <c s="23" r="O1715">
        <v>0.007</v>
      </c>
      <c s="7" r="P1715"/>
      <c s="7" r="Q1715"/>
      <c s="7" r="R1715">
        <f>IF((P1715&gt;0),O1715,0)</f>
        <v>0</v>
      </c>
      <c t="str" r="S1715">
        <f>CONCATENATE(F1715,E1715)</f>
        <v>NON FTLNON FTL</v>
      </c>
    </row>
    <row r="1716">
      <c t="s" s="7" r="A1716">
        <v>201</v>
      </c>
      <c s="7" r="B1716">
        <v>1743</v>
      </c>
      <c s="30" r="C1716">
        <v>21</v>
      </c>
      <c t="s" s="30" r="D1716">
        <v>136</v>
      </c>
      <c t="s" s="30" r="E1716">
        <v>4</v>
      </c>
      <c t="s" s="30" r="F1716">
        <v>4</v>
      </c>
      <c t="s" s="30" r="G1716">
        <v>260</v>
      </c>
      <c t="str" s="12" r="H1716">
        <f>HYPERLINK("http://sofifa.com/en/fifa13winter/player/147783-jose-alberto-canas-ruiz-herrera","Cañas")</f>
        <v>Cañas</v>
      </c>
      <c s="30" r="I1716">
        <v>78</v>
      </c>
      <c t="s" s="30" r="J1716">
        <v>154</v>
      </c>
      <c t="s" s="30" r="K1716">
        <v>159</v>
      </c>
      <c t="s" s="30" r="L1716">
        <v>142</v>
      </c>
      <c s="30" r="M1716">
        <v>25</v>
      </c>
      <c s="26" r="N1716">
        <v>6.5</v>
      </c>
      <c s="23" r="O1716">
        <v>0.019</v>
      </c>
      <c s="7" r="P1716"/>
      <c s="7" r="Q1716"/>
      <c s="7" r="R1716">
        <f>IF((P1716&gt;0),O1716,0)</f>
        <v>0</v>
      </c>
      <c t="str" r="S1716">
        <f>CONCATENATE(F1716,E1716)</f>
        <v>NON FTLNON FTL</v>
      </c>
    </row>
    <row r="1717">
      <c t="s" s="7" r="A1717">
        <v>201</v>
      </c>
      <c s="7" r="B1717">
        <v>1744</v>
      </c>
      <c s="30" r="C1717">
        <v>20</v>
      </c>
      <c t="s" s="30" r="D1717">
        <v>136</v>
      </c>
      <c t="s" s="30" r="E1717">
        <v>4</v>
      </c>
      <c t="s" s="30" r="F1717">
        <v>4</v>
      </c>
      <c t="s" s="30" r="G1717">
        <v>260</v>
      </c>
      <c t="str" s="12" r="H1717">
        <f>HYPERLINK("http://sofifa.com/en/fifa13winter/player/149045-emmanuel-igiebor","Nosa")</f>
        <v>Nosa</v>
      </c>
      <c s="30" r="I1717">
        <v>76</v>
      </c>
      <c t="s" s="30" r="J1717">
        <v>162</v>
      </c>
      <c t="s" s="30" r="K1717">
        <v>110</v>
      </c>
      <c t="s" s="30" r="L1717">
        <v>137</v>
      </c>
      <c s="30" r="M1717">
        <v>21</v>
      </c>
      <c s="26" r="N1717">
        <v>6.2</v>
      </c>
      <c s="23" r="O1717">
        <v>0.013</v>
      </c>
      <c s="7" r="P1717"/>
      <c s="7" r="Q1717"/>
      <c s="7" r="R1717">
        <f>IF((P1717&gt;0),O1717,0)</f>
        <v>0</v>
      </c>
      <c t="str" r="S1717">
        <f>CONCATENATE(F1717,E1717)</f>
        <v>NON FTLNON FTL</v>
      </c>
    </row>
    <row r="1718">
      <c t="s" s="7" r="A1718">
        <v>201</v>
      </c>
      <c s="7" r="B1718">
        <v>1745</v>
      </c>
      <c s="30" r="C1718">
        <v>3</v>
      </c>
      <c t="s" s="30" r="D1718">
        <v>136</v>
      </c>
      <c t="s" s="30" r="E1718">
        <v>4</v>
      </c>
      <c t="s" s="30" r="F1718">
        <v>4</v>
      </c>
      <c t="s" s="30" r="G1718">
        <v>260</v>
      </c>
      <c t="str" s="12" r="H1718">
        <f>HYPERLINK("http://sofifa.com/en/fifa13winter/player/145843-pedro-mario-alvarez-abrante","Mario")</f>
        <v>Mario</v>
      </c>
      <c s="30" r="I1718">
        <v>75</v>
      </c>
      <c t="s" s="30" r="J1718">
        <v>113</v>
      </c>
      <c t="s" s="30" r="K1718">
        <v>118</v>
      </c>
      <c t="s" s="30" r="L1718">
        <v>151</v>
      </c>
      <c s="30" r="M1718">
        <v>30</v>
      </c>
      <c s="26" r="N1718">
        <v>3.5</v>
      </c>
      <c s="23" r="O1718">
        <v>0.014</v>
      </c>
      <c s="7" r="P1718"/>
      <c s="7" r="Q1718"/>
      <c s="7" r="R1718">
        <f>IF((P1718&gt;0),O1718,0)</f>
        <v>0</v>
      </c>
      <c t="str" r="S1718">
        <f>CONCATENATE(F1718,E1718)</f>
        <v>NON FTLNON FTL</v>
      </c>
    </row>
    <row r="1719">
      <c t="s" s="7" r="A1719">
        <v>201</v>
      </c>
      <c s="7" r="B1719">
        <v>1746</v>
      </c>
      <c s="30" r="C1719">
        <v>18</v>
      </c>
      <c t="s" s="30" r="D1719">
        <v>136</v>
      </c>
      <c t="s" s="30" r="E1719">
        <v>4</v>
      </c>
      <c t="s" s="30" r="F1719">
        <v>4</v>
      </c>
      <c t="s" s="30" r="G1719">
        <v>260</v>
      </c>
      <c t="str" s="12" r="H1719">
        <f>HYPERLINK("http://sofifa.com/en/fifa13winter/player/148271-guillermo-molins","G. Molins")</f>
        <v>G. Molins</v>
      </c>
      <c s="30" r="I1719">
        <v>69</v>
      </c>
      <c t="s" s="30" r="J1719">
        <v>157</v>
      </c>
      <c t="s" s="30" r="K1719">
        <v>132</v>
      </c>
      <c t="s" s="30" r="L1719">
        <v>108</v>
      </c>
      <c s="30" r="M1719">
        <v>23</v>
      </c>
      <c s="26" r="N1719">
        <v>2</v>
      </c>
      <c s="23" r="O1719">
        <v>0.006</v>
      </c>
      <c s="7" r="P1719"/>
      <c s="7" r="Q1719"/>
      <c s="7" r="R1719">
        <f>IF((P1719&gt;0),O1719,0)</f>
        <v>0</v>
      </c>
      <c t="str" r="S1719">
        <f>CONCATENATE(F1719,E1719)</f>
        <v>NON FTLNON FTL</v>
      </c>
    </row>
    <row r="1720">
      <c t="s" s="7" r="A1720">
        <v>201</v>
      </c>
      <c s="7" r="B1720">
        <v>1747</v>
      </c>
      <c s="30" r="C1720">
        <v>25</v>
      </c>
      <c t="s" s="30" r="D1720">
        <v>136</v>
      </c>
      <c t="s" s="30" r="E1720">
        <v>4</v>
      </c>
      <c t="s" s="30" r="F1720">
        <v>4</v>
      </c>
      <c t="s" s="30" r="G1720">
        <v>260</v>
      </c>
      <c t="str" s="12" r="H1720">
        <f>HYPERLINK("http://sofifa.com/en/fifa13winter/player/147987-fabricio-agosto-ramirez","Fabricio")</f>
        <v>Fabricio</v>
      </c>
      <c s="30" r="I1720">
        <v>71</v>
      </c>
      <c t="s" s="30" r="J1720">
        <v>106</v>
      </c>
      <c t="s" s="30" r="K1720">
        <v>143</v>
      </c>
      <c t="s" s="30" r="L1720">
        <v>153</v>
      </c>
      <c s="30" r="M1720">
        <v>24</v>
      </c>
      <c s="26" r="N1720">
        <v>1.9</v>
      </c>
      <c s="23" r="O1720">
        <v>0.008</v>
      </c>
      <c s="7" r="P1720"/>
      <c s="7" r="Q1720"/>
      <c s="7" r="R1720">
        <f>IF((P1720&gt;0),O1720,0)</f>
        <v>0</v>
      </c>
      <c t="str" r="S1720">
        <f>CONCATENATE(F1720,E1720)</f>
        <v>NON FTLNON FTL</v>
      </c>
    </row>
    <row r="1721">
      <c t="s" s="7" r="A1721">
        <v>201</v>
      </c>
      <c s="7" r="B1721">
        <v>1748</v>
      </c>
      <c s="30" r="C1721">
        <v>7</v>
      </c>
      <c t="s" s="30" r="D1721">
        <v>136</v>
      </c>
      <c t="s" s="30" r="E1721">
        <v>4</v>
      </c>
      <c t="s" s="30" r="F1721">
        <v>4</v>
      </c>
      <c t="s" s="30" r="G1721">
        <v>260</v>
      </c>
      <c t="str" s="12" r="H1721">
        <f>HYPERLINK("http://sofifa.com/en/fifa13winter/player/145514-angel-domingo-lopez-ruano","Ángel")</f>
        <v>Ángel</v>
      </c>
      <c s="30" r="I1721">
        <v>72</v>
      </c>
      <c t="s" s="30" r="J1721">
        <v>109</v>
      </c>
      <c t="s" s="30" r="K1721">
        <v>114</v>
      </c>
      <c t="s" s="30" r="L1721">
        <v>142</v>
      </c>
      <c s="30" r="M1721">
        <v>31</v>
      </c>
      <c s="26" r="N1721">
        <v>1.9</v>
      </c>
      <c s="23" r="O1721">
        <v>0.01</v>
      </c>
      <c s="7" r="P1721"/>
      <c s="7" r="Q1721"/>
      <c s="7" r="R1721">
        <f>IF((P1721&gt;0),O1721,0)</f>
        <v>0</v>
      </c>
      <c t="str" r="S1721">
        <f>CONCATENATE(F1721,E1721)</f>
        <v>NON FTLNON FTL</v>
      </c>
    </row>
    <row r="1722">
      <c t="s" s="7" r="A1722">
        <v>201</v>
      </c>
      <c s="7" r="B1722">
        <v>1749</v>
      </c>
      <c s="30" r="C1722">
        <v>16</v>
      </c>
      <c t="s" s="30" r="D1722">
        <v>136</v>
      </c>
      <c t="s" s="30" r="E1722">
        <v>4</v>
      </c>
      <c t="s" s="30" r="F1722">
        <v>4</v>
      </c>
      <c t="s" s="30" r="G1722">
        <v>260</v>
      </c>
      <c t="str" s="12" r="H1722">
        <f>HYPERLINK("http://sofifa.com/en/fifa13winter/player/146641-damien-perquis","D. Perquis")</f>
        <v>D. Perquis</v>
      </c>
      <c s="30" r="I1722">
        <v>74</v>
      </c>
      <c t="s" s="30" r="J1722">
        <v>113</v>
      </c>
      <c t="s" s="30" r="K1722">
        <v>167</v>
      </c>
      <c t="s" s="30" r="L1722">
        <v>108</v>
      </c>
      <c s="30" r="M1722">
        <v>28</v>
      </c>
      <c s="26" r="N1722">
        <v>3.2</v>
      </c>
      <c s="23" r="O1722">
        <v>0.011</v>
      </c>
      <c s="7" r="P1722"/>
      <c s="7" r="Q1722"/>
      <c s="7" r="R1722">
        <f>IF((P1722&gt;0),O1722,0)</f>
        <v>0</v>
      </c>
      <c t="str" r="S1722">
        <f>CONCATENATE(F1722,E1722)</f>
        <v>NON FTLNON FTL</v>
      </c>
    </row>
    <row r="1723">
      <c t="s" s="7" r="A1723">
        <v>201</v>
      </c>
      <c s="7" r="B1723">
        <v>1750</v>
      </c>
      <c s="30" r="C1723">
        <v>29</v>
      </c>
      <c t="s" s="30" r="D1723">
        <v>147</v>
      </c>
      <c t="s" s="30" r="E1723">
        <v>4</v>
      </c>
      <c t="s" s="30" r="F1723">
        <v>4</v>
      </c>
      <c t="s" s="30" r="G1723">
        <v>260</v>
      </c>
      <c t="str" s="12" r="H1723">
        <f>HYPERLINK("http://sofifa.com/en/fifa13winter/player/149917-jose-antonio-delgado-villar","Nono")</f>
        <v>Nono</v>
      </c>
      <c s="30" r="I1723">
        <v>67</v>
      </c>
      <c t="s" s="30" r="J1723">
        <v>124</v>
      </c>
      <c t="s" s="30" r="K1723">
        <v>118</v>
      </c>
      <c t="s" s="30" r="L1723">
        <v>146</v>
      </c>
      <c s="30" r="M1723">
        <v>19</v>
      </c>
      <c s="26" r="N1723">
        <v>1.5</v>
      </c>
      <c s="23" r="O1723">
        <v>0.004</v>
      </c>
      <c s="7" r="P1723"/>
      <c s="7" r="Q1723"/>
      <c s="7" r="R1723">
        <f>IF((P1723&gt;0),O1723,0)</f>
        <v>0</v>
      </c>
      <c t="str" r="S1723">
        <f>CONCATENATE(F1723,E1723)</f>
        <v>NON FTLNON FTL</v>
      </c>
    </row>
    <row r="1724">
      <c t="s" s="7" r="A1724">
        <v>201</v>
      </c>
      <c s="7" r="B1724">
        <v>1751</v>
      </c>
      <c s="30" r="C1724">
        <v>28</v>
      </c>
      <c t="s" s="30" r="D1724">
        <v>147</v>
      </c>
      <c t="s" s="30" r="E1724">
        <v>4</v>
      </c>
      <c t="s" s="30" r="F1724">
        <v>4</v>
      </c>
      <c t="s" s="30" r="G1724">
        <v>260</v>
      </c>
      <c t="str" s="12" r="H1724">
        <f>HYPERLINK("http://sofifa.com/en/fifa13winter/player/149422-manuel-herrera-lopez","Manu Herrera")</f>
        <v>Manu Herrera</v>
      </c>
      <c s="30" r="I1724">
        <v>60</v>
      </c>
      <c t="s" s="30" r="J1724">
        <v>113</v>
      </c>
      <c t="s" s="30" r="K1724">
        <v>143</v>
      </c>
      <c t="s" s="30" r="L1724">
        <v>146</v>
      </c>
      <c s="30" r="M1724">
        <v>20</v>
      </c>
      <c s="26" r="N1724">
        <v>0.5</v>
      </c>
      <c s="23" r="O1724">
        <v>0.003</v>
      </c>
      <c s="7" r="P1724"/>
      <c s="7" r="Q1724"/>
      <c s="7" r="R1724">
        <f>IF((P1724&gt;0),O1724,0)</f>
        <v>0</v>
      </c>
      <c t="str" r="S1724">
        <f>CONCATENATE(F1724,E1724)</f>
        <v>NON FTLNON FTL</v>
      </c>
    </row>
    <row r="1725">
      <c t="s" s="7" r="A1725">
        <v>201</v>
      </c>
      <c s="7" r="B1725">
        <v>1752</v>
      </c>
      <c s="30" r="C1725">
        <v>11</v>
      </c>
      <c t="s" s="30" r="D1725">
        <v>147</v>
      </c>
      <c t="s" s="30" r="E1725">
        <v>4</v>
      </c>
      <c t="s" s="30" r="F1725">
        <v>4</v>
      </c>
      <c t="s" s="30" r="G1725">
        <v>260</v>
      </c>
      <c t="str" s="12" r="H1725">
        <f>HYPERLINK("http://sofifa.com/en/fifa13winter/player/149360-alejandro-pozuelo-melero","Pozuelo")</f>
        <v>Pozuelo</v>
      </c>
      <c s="30" r="I1725">
        <v>68</v>
      </c>
      <c t="s" s="30" r="J1725">
        <v>162</v>
      </c>
      <c t="s" s="30" r="K1725">
        <v>121</v>
      </c>
      <c t="s" s="30" r="L1725">
        <v>168</v>
      </c>
      <c s="30" r="M1725">
        <v>20</v>
      </c>
      <c s="26" r="N1725">
        <v>2</v>
      </c>
      <c s="23" r="O1725">
        <v>0.005</v>
      </c>
      <c s="7" r="P1725"/>
      <c s="7" r="Q1725"/>
      <c s="7" r="R1725">
        <f>IF((P1725&gt;0),O1725,0)</f>
        <v>0</v>
      </c>
      <c t="str" r="S1725">
        <f>CONCATENATE(F1725,E1725)</f>
        <v>NON FTLNON FTL</v>
      </c>
    </row>
    <row r="1726">
      <c t="s" s="7" r="A1726">
        <v>201</v>
      </c>
      <c s="7" r="B1726">
        <v>1753</v>
      </c>
      <c s="30" r="C1726">
        <v>39</v>
      </c>
      <c t="s" s="30" r="D1726">
        <v>147</v>
      </c>
      <c t="s" s="30" r="E1726">
        <v>4</v>
      </c>
      <c t="s" s="30" r="F1726">
        <v>4</v>
      </c>
      <c t="s" s="30" r="G1726">
        <v>260</v>
      </c>
      <c t="str" s="12" r="H1726">
        <f>HYPERLINK("http://sofifa.com/en/fifa13winter/player/149713-sergio-rodriguez-hurtado","Sergio")</f>
        <v>Sergio</v>
      </c>
      <c s="30" r="I1726">
        <v>64</v>
      </c>
      <c t="s" s="30" r="J1726">
        <v>170</v>
      </c>
      <c t="s" s="30" r="K1726">
        <v>205</v>
      </c>
      <c t="s" s="30" r="L1726">
        <v>149</v>
      </c>
      <c s="30" r="M1726">
        <v>19</v>
      </c>
      <c s="26" r="N1726">
        <v>1.2</v>
      </c>
      <c s="23" r="O1726">
        <v>0.004</v>
      </c>
      <c s="7" r="P1726"/>
      <c s="7" r="Q1726"/>
      <c s="7" r="R1726">
        <f>IF((P1726&gt;0),O1726,0)</f>
        <v>0</v>
      </c>
      <c t="str" r="S1726">
        <f>CONCATENATE(F1726,E1726)</f>
        <v>NON FTLNON FTL</v>
      </c>
    </row>
    <row r="1727">
      <c t="s" s="7" r="A1727">
        <v>201</v>
      </c>
      <c s="7" r="B1727">
        <v>1754</v>
      </c>
      <c s="30" r="C1727">
        <v>32</v>
      </c>
      <c t="s" s="30" r="D1727">
        <v>147</v>
      </c>
      <c t="s" s="30" r="E1727">
        <v>4</v>
      </c>
      <c t="s" s="30" r="F1727">
        <v>4</v>
      </c>
      <c t="s" s="30" r="G1727">
        <v>260</v>
      </c>
      <c t="str" s="12" r="H1727">
        <f>HYPERLINK("http://sofifa.com/en/fifa13winter/player/148733-manuel-palancar-belloso","Manu Palancar")</f>
        <v>Manu Palancar</v>
      </c>
      <c s="30" r="I1727">
        <v>64</v>
      </c>
      <c t="s" s="30" r="J1727">
        <v>109</v>
      </c>
      <c t="s" s="30" r="K1727">
        <v>145</v>
      </c>
      <c t="s" s="30" r="L1727">
        <v>146</v>
      </c>
      <c s="30" r="M1727">
        <v>22</v>
      </c>
      <c s="26" r="N1727">
        <v>0.9</v>
      </c>
      <c s="23" r="O1727">
        <v>0.004</v>
      </c>
      <c s="7" r="P1727"/>
      <c s="7" r="Q1727"/>
      <c s="7" r="R1727">
        <f>IF((P1727&gt;0),O1727,0)</f>
        <v>0</v>
      </c>
      <c t="str" r="S1727">
        <f>CONCATENATE(F1727,E1727)</f>
        <v>NON FTLNON FTL</v>
      </c>
    </row>
    <row r="1728">
      <c t="s" s="7" r="A1728">
        <v>201</v>
      </c>
      <c s="7" r="B1728">
        <v>1755</v>
      </c>
      <c s="30" r="C1728">
        <v>35</v>
      </c>
      <c t="s" s="30" r="D1728">
        <v>147</v>
      </c>
      <c t="s" s="30" r="E1728">
        <v>4</v>
      </c>
      <c t="s" s="30" r="F1728">
        <v>4</v>
      </c>
      <c t="s" s="30" r="G1728">
        <v>260</v>
      </c>
      <c t="str" s="12" r="H1728">
        <f>HYPERLINK("http://sofifa.com/en/fifa13winter/player/148135-borja-navarro-landaburu","Borja")</f>
        <v>Borja</v>
      </c>
      <c s="30" r="I1728">
        <v>59</v>
      </c>
      <c t="s" s="30" r="J1728">
        <v>113</v>
      </c>
      <c t="s" s="30" r="K1728">
        <v>145</v>
      </c>
      <c t="s" s="30" r="L1728">
        <v>142</v>
      </c>
      <c s="30" r="M1728">
        <v>24</v>
      </c>
      <c s="26" r="N1728">
        <v>0.4</v>
      </c>
      <c s="23" r="O1728">
        <v>0.003</v>
      </c>
      <c s="7" r="P1728"/>
      <c s="7" r="Q1728"/>
      <c s="7" r="R1728">
        <f>IF((P1728&gt;0),O1728,0)</f>
        <v>0</v>
      </c>
      <c t="str" r="S1728">
        <f>CONCATENATE(F1728,E1728)</f>
        <v>NON FTLNON FTL</v>
      </c>
    </row>
    <row r="1729">
      <c t="s" s="7" r="A1729">
        <v>201</v>
      </c>
      <c s="7" r="B1729">
        <v>1756</v>
      </c>
      <c s="30" r="C1729">
        <v>38</v>
      </c>
      <c t="s" s="30" r="D1729">
        <v>147</v>
      </c>
      <c t="s" s="30" r="E1729">
        <v>4</v>
      </c>
      <c t="s" s="30" r="F1729">
        <v>4</v>
      </c>
      <c t="s" s="30" r="G1729">
        <v>260</v>
      </c>
      <c t="str" s="12" r="H1729">
        <f>HYPERLINK("http://sofifa.com/en/fifa13winter/player/148893-eneko-eizmendi-blanco","Eneko Eizmendi")</f>
        <v>Eneko Eizmendi</v>
      </c>
      <c s="30" r="I1729">
        <v>62</v>
      </c>
      <c t="s" s="30" r="J1729">
        <v>120</v>
      </c>
      <c t="s" s="30" r="K1729">
        <v>195</v>
      </c>
      <c t="s" s="30" r="L1729">
        <v>125</v>
      </c>
      <c s="30" r="M1729">
        <v>22</v>
      </c>
      <c s="26" r="N1729">
        <v>0.8</v>
      </c>
      <c s="23" r="O1729">
        <v>0.003</v>
      </c>
      <c s="7" r="P1729"/>
      <c s="7" r="Q1729"/>
      <c s="7" r="R1729">
        <f>IF((P1729&gt;0),O1729,0)</f>
        <v>0</v>
      </c>
      <c t="str" r="S1729">
        <f>CONCATENATE(F1729,E1729)</f>
        <v>NON FTLNON FTL</v>
      </c>
    </row>
    <row r="1730">
      <c t="s" s="7" r="A1730">
        <v>201</v>
      </c>
      <c s="7" r="B1730">
        <v>1757</v>
      </c>
      <c s="30" r="C1730">
        <v>26</v>
      </c>
      <c t="s" s="30" r="D1730">
        <v>147</v>
      </c>
      <c t="s" s="30" r="E1730">
        <v>4</v>
      </c>
      <c t="s" s="30" r="F1730">
        <v>4</v>
      </c>
      <c t="s" s="30" r="G1730">
        <v>260</v>
      </c>
      <c t="str" s="12" r="H1730">
        <f>HYPERLINK("http://sofifa.com/en/fifa13winter/player/148271-ariday-cabrera-suarez","Ariday")</f>
        <v>Ariday</v>
      </c>
      <c s="30" r="I1730">
        <v>60</v>
      </c>
      <c t="s" s="30" r="J1730">
        <v>171</v>
      </c>
      <c t="s" s="30" r="K1730">
        <v>148</v>
      </c>
      <c t="s" s="30" r="L1730">
        <v>127</v>
      </c>
      <c s="30" r="M1730">
        <v>23</v>
      </c>
      <c s="26" r="N1730">
        <v>0.6</v>
      </c>
      <c s="23" r="O1730">
        <v>0.003</v>
      </c>
      <c s="7" r="P1730"/>
      <c s="7" r="Q1730"/>
      <c s="7" r="R1730">
        <f>IF((P1730&gt;0),O1730,0)</f>
        <v>0</v>
      </c>
      <c t="str" r="S1730">
        <f>CONCATENATE(F1730,E1730)</f>
        <v>NON FTLNON FTL</v>
      </c>
    </row>
    <row r="1731">
      <c t="s" s="7" r="A1731">
        <v>201</v>
      </c>
      <c s="7" r="B1731">
        <v>1758</v>
      </c>
      <c s="30" r="C1731">
        <v>13</v>
      </c>
      <c t="s" s="30" r="D1731">
        <v>147</v>
      </c>
      <c t="s" s="30" r="E1731">
        <v>4</v>
      </c>
      <c t="s" s="30" r="F1731">
        <v>4</v>
      </c>
      <c t="s" s="30" r="G1731">
        <v>260</v>
      </c>
      <c t="str" s="12" r="H1731">
        <f>HYPERLINK("http://sofifa.com/en/fifa13winter/player/147667-adrian-san-miguel-castillo","Adrián")</f>
        <v>Adrián</v>
      </c>
      <c s="30" r="I1731">
        <v>76</v>
      </c>
      <c t="s" s="30" r="J1731">
        <v>106</v>
      </c>
      <c t="s" s="30" r="K1731">
        <v>134</v>
      </c>
      <c t="s" s="30" r="L1731">
        <v>138</v>
      </c>
      <c s="30" r="M1731">
        <v>25</v>
      </c>
      <c s="26" r="N1731">
        <v>4.1</v>
      </c>
      <c s="23" r="O1731">
        <v>0.015</v>
      </c>
      <c s="7" r="P1731"/>
      <c s="7" r="Q1731"/>
      <c s="7" r="R1731">
        <f>IF((P1731&gt;0),O1731,0)</f>
        <v>0</v>
      </c>
      <c t="str" r="S1731">
        <f>CONCATENATE(F1731,E1731)</f>
        <v>NON FTLNON FTL</v>
      </c>
    </row>
    <row r="1732">
      <c t="s" s="7" r="A1732">
        <v>201</v>
      </c>
      <c s="7" r="B1732">
        <v>1759</v>
      </c>
      <c s="30" r="C1732">
        <v>30</v>
      </c>
      <c t="s" s="30" r="D1732">
        <v>147</v>
      </c>
      <c t="s" s="30" r="E1732">
        <v>4</v>
      </c>
      <c t="s" s="30" r="F1732">
        <v>4</v>
      </c>
      <c t="s" s="30" r="G1732">
        <v>260</v>
      </c>
      <c t="str" s="12" r="H1732">
        <f>HYPERLINK("http://sofifa.com/en/fifa13winter/player/148772-eder-vilarchao-ruiz","Vilarchao")</f>
        <v>Vilarchao</v>
      </c>
      <c s="30" r="I1732">
        <v>63</v>
      </c>
      <c t="s" s="30" r="J1732">
        <v>162</v>
      </c>
      <c t="s" s="30" r="K1732">
        <v>110</v>
      </c>
      <c t="s" s="30" r="L1732">
        <v>164</v>
      </c>
      <c s="30" r="M1732">
        <v>22</v>
      </c>
      <c s="26" r="N1732">
        <v>0.9</v>
      </c>
      <c s="23" r="O1732">
        <v>0.004</v>
      </c>
      <c s="7" r="P1732"/>
      <c s="7" r="Q1732"/>
      <c s="7" r="R1732">
        <f>IF((P1732&gt;0),O1732,0)</f>
        <v>0</v>
      </c>
      <c t="str" r="S1732">
        <f>CONCATENATE(F1732,E1732)</f>
        <v>NON FTLNON FTL</v>
      </c>
    </row>
    <row r="1733">
      <c t="s" s="7" r="A1733">
        <v>201</v>
      </c>
      <c s="7" r="B1733">
        <v>1760</v>
      </c>
      <c s="30" r="C1733">
        <v>1</v>
      </c>
      <c t="s" s="30" r="D1733">
        <v>106</v>
      </c>
      <c t="s" s="30" r="E1733">
        <v>4</v>
      </c>
      <c t="s" s="30" r="F1733">
        <v>4</v>
      </c>
      <c t="s" s="30" r="G1733">
        <v>262</v>
      </c>
      <c t="str" s="12" r="H1733">
        <f>HYPERLINK("http://sofifa.com/en/fifa13winter/player/145342-sergey-ryzhikov","S. Ryzhikov")</f>
        <v>S. Ryzhikov</v>
      </c>
      <c s="30" r="I1733">
        <v>74</v>
      </c>
      <c t="s" s="30" r="J1733">
        <v>106</v>
      </c>
      <c t="s" s="30" r="K1733">
        <v>165</v>
      </c>
      <c t="s" s="30" r="L1733">
        <v>135</v>
      </c>
      <c s="30" r="M1733">
        <v>31</v>
      </c>
      <c s="26" r="N1733">
        <v>2.2</v>
      </c>
      <c s="23" r="O1733">
        <v>0.012</v>
      </c>
      <c s="7" r="P1733"/>
      <c s="7" r="Q1733"/>
      <c s="7" r="R1733">
        <f>IF((P1733&gt;0),O1733,0)</f>
        <v>0</v>
      </c>
      <c t="str" r="S1733">
        <f>CONCATENATE(F1733,E1733)</f>
        <v>NON FTLNON FTL</v>
      </c>
    </row>
    <row r="1734">
      <c t="s" s="7" r="A1734">
        <v>201</v>
      </c>
      <c s="7" r="B1734">
        <v>1761</v>
      </c>
      <c s="30" r="C1734">
        <v>2</v>
      </c>
      <c t="s" s="30" r="D1734">
        <v>109</v>
      </c>
      <c t="s" s="30" r="E1734">
        <v>4</v>
      </c>
      <c t="s" s="30" r="F1734">
        <v>4</v>
      </c>
      <c t="s" s="30" r="G1734">
        <v>262</v>
      </c>
      <c t="str" s="12" r="H1734">
        <f>HYPERLINK("http://sofifa.com/en/fifa13winter/player/145574-oleg-kuzmin","O. Kuzmin")</f>
        <v>O. Kuzmin</v>
      </c>
      <c s="30" r="I1734">
        <v>71</v>
      </c>
      <c t="s" s="30" r="J1734">
        <v>109</v>
      </c>
      <c t="s" s="30" r="K1734">
        <v>139</v>
      </c>
      <c t="s" s="30" r="L1734">
        <v>146</v>
      </c>
      <c s="30" r="M1734">
        <v>31</v>
      </c>
      <c s="26" r="N1734">
        <v>1.7</v>
      </c>
      <c s="23" r="O1734">
        <v>0.009</v>
      </c>
      <c s="7" r="P1734"/>
      <c s="7" r="Q1734"/>
      <c s="7" r="R1734">
        <f>IF((P1734&gt;0),O1734,0)</f>
        <v>0</v>
      </c>
      <c t="str" r="S1734">
        <f>CONCATENATE(F1734,E1734)</f>
        <v>NON FTLNON FTL</v>
      </c>
    </row>
    <row r="1735">
      <c t="s" s="7" r="A1735">
        <v>201</v>
      </c>
      <c s="7" r="B1735">
        <v>1762</v>
      </c>
      <c s="30" r="C1735">
        <v>25</v>
      </c>
      <c t="s" s="30" r="D1735">
        <v>112</v>
      </c>
      <c t="s" s="30" r="E1735">
        <v>4</v>
      </c>
      <c t="s" s="30" r="F1735">
        <v>4</v>
      </c>
      <c t="s" s="30" r="G1735">
        <v>262</v>
      </c>
      <c t="str" s="12" r="H1735">
        <f>HYPERLINK("http://sofifa.com/en/fifa13winter/player/147402-ivan-marcano-sierra","Marcano")</f>
        <v>Marcano</v>
      </c>
      <c s="30" r="I1735">
        <v>72</v>
      </c>
      <c t="s" s="30" r="J1735">
        <v>113</v>
      </c>
      <c t="s" s="30" r="K1735">
        <v>155</v>
      </c>
      <c t="s" s="30" r="L1735">
        <v>138</v>
      </c>
      <c s="30" r="M1735">
        <v>26</v>
      </c>
      <c s="26" r="N1735">
        <v>2.5</v>
      </c>
      <c s="23" r="O1735">
        <v>0.009</v>
      </c>
      <c s="7" r="P1735"/>
      <c s="7" r="Q1735"/>
      <c s="7" r="R1735">
        <f>IF((P1735&gt;0),O1735,0)</f>
        <v>0</v>
      </c>
      <c t="str" r="S1735">
        <f>CONCATENATE(F1735,E1735)</f>
        <v>NON FTLNON FTL</v>
      </c>
    </row>
    <row r="1736">
      <c t="s" s="7" r="A1736">
        <v>201</v>
      </c>
      <c s="7" r="B1736">
        <v>1763</v>
      </c>
      <c s="30" r="C1736">
        <v>4</v>
      </c>
      <c t="s" s="30" r="D1736">
        <v>116</v>
      </c>
      <c t="s" s="30" r="E1736">
        <v>4</v>
      </c>
      <c t="s" s="30" r="F1736">
        <v>4</v>
      </c>
      <c t="s" s="30" r="G1736">
        <v>262</v>
      </c>
      <c t="str" s="12" r="H1736">
        <f>HYPERLINK("http://sofifa.com/en/fifa13winter/player/145124-cesar-gonzalez-navas","César Navas")</f>
        <v>César Navas</v>
      </c>
      <c s="30" r="I1736">
        <v>74</v>
      </c>
      <c t="s" s="30" r="J1736">
        <v>113</v>
      </c>
      <c t="s" s="30" r="K1736">
        <v>215</v>
      </c>
      <c t="s" s="30" r="L1736">
        <v>175</v>
      </c>
      <c s="30" r="M1736">
        <v>32</v>
      </c>
      <c s="26" r="N1736">
        <v>2.9</v>
      </c>
      <c s="23" r="O1736">
        <v>0.013</v>
      </c>
      <c s="7" r="P1736"/>
      <c s="7" r="Q1736"/>
      <c s="7" r="R1736">
        <f>IF((P1736&gt;0),O1736,0)</f>
        <v>0</v>
      </c>
      <c t="str" r="S1736">
        <f>CONCATENATE(F1736,E1736)</f>
        <v>NON FTLNON FTL</v>
      </c>
    </row>
    <row r="1737">
      <c t="s" s="7" r="A1737">
        <v>201</v>
      </c>
      <c s="7" r="B1737">
        <v>1764</v>
      </c>
      <c s="30" r="C1737">
        <v>3</v>
      </c>
      <c t="s" s="30" r="D1737">
        <v>117</v>
      </c>
      <c t="s" s="30" r="E1737">
        <v>4</v>
      </c>
      <c t="s" s="30" r="F1737">
        <v>4</v>
      </c>
      <c t="s" s="30" r="G1737">
        <v>262</v>
      </c>
      <c t="str" s="12" r="H1737">
        <f>HYPERLINK("http://sofifa.com/en/fifa13winter/player/147534-cristian-ansaldi","C. Ansaldi")</f>
        <v>C. Ansaldi</v>
      </c>
      <c s="30" r="I1737">
        <v>78</v>
      </c>
      <c t="s" s="30" r="J1737">
        <v>117</v>
      </c>
      <c t="s" s="30" r="K1737">
        <v>150</v>
      </c>
      <c t="s" s="30" r="L1737">
        <v>137</v>
      </c>
      <c s="30" r="M1737">
        <v>25</v>
      </c>
      <c s="26" r="N1737">
        <v>6.1</v>
      </c>
      <c s="23" r="O1737">
        <v>0.019</v>
      </c>
      <c s="7" r="P1737"/>
      <c s="7" r="Q1737"/>
      <c s="7" r="R1737">
        <f>IF((P1737&gt;0),O1737,0)</f>
        <v>0</v>
      </c>
      <c t="str" r="S1737">
        <f>CONCATENATE(F1737,E1737)</f>
        <v>NON FTLNON FTL</v>
      </c>
    </row>
    <row r="1738">
      <c t="s" s="7" r="A1738">
        <v>201</v>
      </c>
      <c s="7" r="B1738">
        <v>1765</v>
      </c>
      <c s="30" r="C1738">
        <v>66</v>
      </c>
      <c t="s" s="30" r="D1738">
        <v>186</v>
      </c>
      <c t="s" s="30" r="E1738">
        <v>4</v>
      </c>
      <c t="s" s="30" r="F1738">
        <v>4</v>
      </c>
      <c t="s" s="30" r="G1738">
        <v>262</v>
      </c>
      <c t="str" s="12" r="H1738">
        <f>HYPERLINK("http://sofifa.com/en/fifa13winter/player/148050-bibras-natkho","B. Natkho")</f>
        <v>B. Natkho</v>
      </c>
      <c s="30" r="I1738">
        <v>77</v>
      </c>
      <c t="s" s="30" r="J1738">
        <v>154</v>
      </c>
      <c t="s" s="30" r="K1738">
        <v>139</v>
      </c>
      <c t="s" s="30" r="L1738">
        <v>119</v>
      </c>
      <c s="30" r="M1738">
        <v>24</v>
      </c>
      <c s="26" r="N1738">
        <v>5.4</v>
      </c>
      <c s="23" r="O1738">
        <v>0.017</v>
      </c>
      <c s="7" r="P1738"/>
      <c s="7" r="Q1738"/>
      <c s="7" r="R1738">
        <f>IF((P1738&gt;0),O1738,0)</f>
        <v>0</v>
      </c>
      <c t="str" r="S1738">
        <f>CONCATENATE(F1738,E1738)</f>
        <v>NON FTLNON FTL</v>
      </c>
    </row>
    <row r="1739">
      <c t="s" s="7" r="A1739">
        <v>201</v>
      </c>
      <c s="7" r="B1739">
        <v>1766</v>
      </c>
      <c s="30" r="C1739">
        <v>90</v>
      </c>
      <c t="s" s="30" r="D1739">
        <v>174</v>
      </c>
      <c t="s" s="30" r="E1739">
        <v>4</v>
      </c>
      <c t="s" s="30" r="F1739">
        <v>4</v>
      </c>
      <c t="s" s="30" r="G1739">
        <v>262</v>
      </c>
      <c t="str" s="12" r="H1739">
        <f>HYPERLINK("http://sofifa.com/en/fifa13winter/player/148912-yann-mvila","Y. M'Vila")</f>
        <v>Y. M'Vila</v>
      </c>
      <c s="30" r="I1739">
        <v>79</v>
      </c>
      <c t="s" s="30" r="J1739">
        <v>154</v>
      </c>
      <c t="s" s="30" r="K1739">
        <v>143</v>
      </c>
      <c t="s" s="30" r="L1739">
        <v>153</v>
      </c>
      <c s="30" r="M1739">
        <v>22</v>
      </c>
      <c s="26" r="N1739">
        <v>7.7</v>
      </c>
      <c s="23" r="O1739">
        <v>0.02</v>
      </c>
      <c s="7" r="P1739"/>
      <c s="7" r="Q1739"/>
      <c s="7" r="R1739">
        <f>IF((P1739&gt;0),O1739,0)</f>
        <v>0</v>
      </c>
      <c t="str" r="S1739">
        <f>CONCATENATE(F1739,E1739)</f>
        <v>NON FTLNON FTL</v>
      </c>
    </row>
    <row r="1740">
      <c t="s" s="7" r="A1740">
        <v>201</v>
      </c>
      <c s="7" r="B1740">
        <v>1767</v>
      </c>
      <c s="30" r="C1740">
        <v>61</v>
      </c>
      <c t="s" s="30" r="D1740">
        <v>120</v>
      </c>
      <c t="s" s="30" r="E1740">
        <v>4</v>
      </c>
      <c t="s" s="30" r="F1740">
        <v>4</v>
      </c>
      <c t="s" s="30" r="G1740">
        <v>262</v>
      </c>
      <c t="str" s="12" r="H1740">
        <f>HYPERLINK("http://sofifa.com/en/fifa13winter/player/145090-gokdeniz-karadeniz","G. Karadeniz")</f>
        <v>G. Karadeniz</v>
      </c>
      <c s="30" r="I1740">
        <v>75</v>
      </c>
      <c t="s" s="30" r="J1740">
        <v>120</v>
      </c>
      <c t="s" s="30" r="K1740">
        <v>148</v>
      </c>
      <c t="s" s="30" r="L1740">
        <v>115</v>
      </c>
      <c s="30" r="M1740">
        <v>32</v>
      </c>
      <c s="26" r="N1740">
        <v>3.2</v>
      </c>
      <c s="23" r="O1740">
        <v>0.015</v>
      </c>
      <c s="7" r="P1740"/>
      <c s="7" r="Q1740"/>
      <c s="7" r="R1740">
        <f>IF((P1740&gt;0),O1740,0)</f>
        <v>0</v>
      </c>
      <c t="str" r="S1740">
        <f>CONCATENATE(F1740,E1740)</f>
        <v>NON FTLNON FTL</v>
      </c>
    </row>
    <row r="1741">
      <c t="s" s="7" r="A1741">
        <v>201</v>
      </c>
      <c s="7" r="B1741">
        <v>1768</v>
      </c>
      <c s="30" r="C1741">
        <v>8</v>
      </c>
      <c t="s" s="30" r="D1741">
        <v>128</v>
      </c>
      <c t="s" s="30" r="E1741">
        <v>4</v>
      </c>
      <c t="s" s="30" r="F1741">
        <v>4</v>
      </c>
      <c t="s" s="30" r="G1741">
        <v>262</v>
      </c>
      <c t="str" s="12" r="H1741">
        <f>HYPERLINK("http://sofifa.com/en/fifa13winter/player/147519-alexandr-ryazantsev","A. Ryazantsev")</f>
        <v>A. Ryazantsev</v>
      </c>
      <c s="30" r="I1741">
        <v>76</v>
      </c>
      <c t="s" s="30" r="J1741">
        <v>120</v>
      </c>
      <c t="s" s="30" r="K1741">
        <v>114</v>
      </c>
      <c t="s" s="30" r="L1741">
        <v>151</v>
      </c>
      <c s="30" r="M1741">
        <v>25</v>
      </c>
      <c s="26" r="N1741">
        <v>5.2</v>
      </c>
      <c s="23" r="O1741">
        <v>0.015</v>
      </c>
      <c s="7" r="P1741"/>
      <c s="7" r="Q1741"/>
      <c s="7" r="R1741">
        <f>IF((P1741&gt;0),O1741,0)</f>
        <v>0</v>
      </c>
      <c t="str" r="S1741">
        <f>CONCATENATE(F1741,E1741)</f>
        <v>NON FTLNON FTL</v>
      </c>
    </row>
    <row r="1742">
      <c t="s" s="7" r="A1742">
        <v>201</v>
      </c>
      <c s="7" r="B1742">
        <v>1769</v>
      </c>
      <c s="30" r="C1742">
        <v>23</v>
      </c>
      <c t="s" s="30" r="D1742">
        <v>162</v>
      </c>
      <c t="s" s="30" r="E1742">
        <v>4</v>
      </c>
      <c t="s" s="30" r="F1742">
        <v>4</v>
      </c>
      <c t="s" s="30" r="G1742">
        <v>262</v>
      </c>
      <c t="str" s="12" r="H1742">
        <f>HYPERLINK("http://sofifa.com/en/fifa13winter/player/147714-roman-eremenko","R. Eremenko")</f>
        <v>R. Eremenko</v>
      </c>
      <c s="30" r="I1742">
        <v>79</v>
      </c>
      <c t="s" s="30" r="J1742">
        <v>162</v>
      </c>
      <c t="s" s="30" r="K1742">
        <v>114</v>
      </c>
      <c t="s" s="30" r="L1742">
        <v>163</v>
      </c>
      <c s="30" r="M1742">
        <v>25</v>
      </c>
      <c s="26" r="N1742">
        <v>8.3</v>
      </c>
      <c s="23" r="O1742">
        <v>0.022</v>
      </c>
      <c s="7" r="P1742"/>
      <c s="7" r="Q1742"/>
      <c s="7" r="R1742">
        <f>IF((P1742&gt;0),O1742,0)</f>
        <v>0</v>
      </c>
      <c t="str" r="S1742">
        <f>CONCATENATE(F1742,E1742)</f>
        <v>NON FTLNON FTL</v>
      </c>
    </row>
    <row r="1743">
      <c t="s" s="7" r="A1743">
        <v>201</v>
      </c>
      <c s="7" r="B1743">
        <v>1770</v>
      </c>
      <c s="30" r="C1743">
        <v>99</v>
      </c>
      <c t="s" s="30" r="D1743">
        <v>129</v>
      </c>
      <c t="s" s="30" r="E1743">
        <v>4</v>
      </c>
      <c t="s" s="30" r="F1743">
        <v>4</v>
      </c>
      <c t="s" s="30" r="G1743">
        <v>262</v>
      </c>
      <c t="str" s="12" r="H1743">
        <f>HYPERLINK("http://sofifa.com/en/fifa13winter/player/148626-salomon-rondon","S. Rondón")</f>
        <v>S. Rondón</v>
      </c>
      <c s="30" r="I1743">
        <v>77</v>
      </c>
      <c t="s" s="30" r="J1743">
        <v>129</v>
      </c>
      <c t="s" s="30" r="K1743">
        <v>173</v>
      </c>
      <c t="s" s="30" r="L1743">
        <v>180</v>
      </c>
      <c s="30" r="M1743">
        <v>22</v>
      </c>
      <c s="26" r="N1743">
        <v>7.9</v>
      </c>
      <c s="23" r="O1743">
        <v>0.015</v>
      </c>
      <c s="7" r="P1743"/>
      <c s="7" r="Q1743"/>
      <c s="7" r="R1743">
        <f>IF((P1743&gt;0),O1743,0)</f>
        <v>0</v>
      </c>
      <c t="str" r="S1743">
        <f>CONCATENATE(F1743,E1743)</f>
        <v>NON FTLNON FTL</v>
      </c>
    </row>
    <row r="1744">
      <c t="s" s="7" r="A1744">
        <v>201</v>
      </c>
      <c s="7" r="B1744">
        <v>1771</v>
      </c>
      <c s="30" r="C1744">
        <v>76</v>
      </c>
      <c t="s" s="30" r="D1744">
        <v>136</v>
      </c>
      <c t="s" s="30" r="E1744">
        <v>4</v>
      </c>
      <c t="s" s="30" r="F1744">
        <v>4</v>
      </c>
      <c t="s" s="30" r="G1744">
        <v>262</v>
      </c>
      <c t="str" s="12" r="H1744">
        <f>HYPERLINK("http://sofifa.com/en/fifa13winter/player/143870-roman-sharonov","R. Sharonov")</f>
        <v>R. Sharonov</v>
      </c>
      <c s="30" r="I1744">
        <v>72</v>
      </c>
      <c t="s" s="30" r="J1744">
        <v>113</v>
      </c>
      <c t="s" s="30" r="K1744">
        <v>167</v>
      </c>
      <c t="s" s="30" r="L1744">
        <v>137</v>
      </c>
      <c s="30" r="M1744">
        <v>35</v>
      </c>
      <c s="26" r="N1744">
        <v>1.5</v>
      </c>
      <c s="23" r="O1744">
        <v>0.011</v>
      </c>
      <c s="7" r="P1744"/>
      <c s="7" r="Q1744"/>
      <c s="7" r="R1744">
        <f>IF((P1744&gt;0),O1744,0)</f>
        <v>0</v>
      </c>
      <c t="str" r="S1744">
        <f>CONCATENATE(F1744,E1744)</f>
        <v>NON FTLNON FTL</v>
      </c>
    </row>
    <row r="1745">
      <c t="s" s="7" r="A1745">
        <v>201</v>
      </c>
      <c s="7" r="B1745">
        <v>1772</v>
      </c>
      <c s="30" r="C1745">
        <v>22</v>
      </c>
      <c t="s" s="30" r="D1745">
        <v>136</v>
      </c>
      <c t="s" s="30" r="E1745">
        <v>4</v>
      </c>
      <c t="s" s="30" r="F1745">
        <v>4</v>
      </c>
      <c t="s" s="30" r="G1745">
        <v>262</v>
      </c>
      <c t="str" s="12" r="H1745">
        <f>HYPERLINK("http://sofifa.com/en/fifa13winter/player/148195-vladimir-dyadyun","V. Dyadyun")</f>
        <v>V. Dyadyun</v>
      </c>
      <c s="30" r="I1745">
        <v>72</v>
      </c>
      <c t="s" s="30" r="J1745">
        <v>129</v>
      </c>
      <c t="s" s="30" r="K1745">
        <v>114</v>
      </c>
      <c t="s" s="30" r="L1745">
        <v>151</v>
      </c>
      <c s="30" r="M1745">
        <v>24</v>
      </c>
      <c s="26" r="N1745">
        <v>3.2</v>
      </c>
      <c s="23" r="O1745">
        <v>0.009</v>
      </c>
      <c s="7" r="P1745"/>
      <c s="7" r="Q1745"/>
      <c s="7" r="R1745">
        <f>IF((P1745&gt;0),O1745,0)</f>
        <v>0</v>
      </c>
      <c t="str" r="S1745">
        <f>CONCATENATE(F1745,E1745)</f>
        <v>NON FTLNON FTL</v>
      </c>
    </row>
    <row r="1746">
      <c t="s" s="7" r="A1746">
        <v>201</v>
      </c>
      <c s="7" r="B1746">
        <v>1773</v>
      </c>
      <c s="30" r="C1746">
        <v>35</v>
      </c>
      <c t="s" s="30" r="D1746">
        <v>136</v>
      </c>
      <c t="s" s="30" r="E1746">
        <v>4</v>
      </c>
      <c t="s" s="30" r="F1746">
        <v>4</v>
      </c>
      <c t="s" s="30" r="G1746">
        <v>262</v>
      </c>
      <c t="str" s="12" r="H1746">
        <f>HYPERLINK("http://sofifa.com/en/fifa13winter/player/148395-ivan-temnikov","I. Temnikov")</f>
        <v>I. Temnikov</v>
      </c>
      <c s="30" r="I1746">
        <v>55</v>
      </c>
      <c t="s" s="30" r="J1746">
        <v>124</v>
      </c>
      <c t="s" s="30" r="K1746">
        <v>121</v>
      </c>
      <c t="s" s="30" r="L1746">
        <v>149</v>
      </c>
      <c s="30" r="M1746">
        <v>23</v>
      </c>
      <c s="26" r="N1746">
        <v>0.1</v>
      </c>
      <c s="23" r="O1746">
        <v>0.002</v>
      </c>
      <c s="7" r="P1746"/>
      <c s="7" r="Q1746"/>
      <c s="7" r="R1746">
        <f>IF((P1746&gt;0),O1746,0)</f>
        <v>0</v>
      </c>
      <c t="str" r="S1746">
        <f>CONCATENATE(F1746,E1746)</f>
        <v>NON FTLNON FTL</v>
      </c>
    </row>
    <row r="1747">
      <c t="s" s="7" r="A1747">
        <v>201</v>
      </c>
      <c s="7" r="B1747">
        <v>1774</v>
      </c>
      <c s="30" r="C1747">
        <v>87</v>
      </c>
      <c t="s" s="30" r="D1747">
        <v>136</v>
      </c>
      <c t="s" s="30" r="E1747">
        <v>4</v>
      </c>
      <c t="s" s="30" r="F1747">
        <v>4</v>
      </c>
      <c t="s" s="30" r="G1747">
        <v>262</v>
      </c>
      <c t="str" s="12" r="H1747">
        <f>HYPERLINK("http://sofifa.com/en/fifa13winter/player/147919-ruslan-abisov","R. Abişov")</f>
        <v>R. Abişov</v>
      </c>
      <c s="30" r="I1747">
        <v>58</v>
      </c>
      <c t="s" s="30" r="J1747">
        <v>113</v>
      </c>
      <c t="s" s="30" r="K1747">
        <v>155</v>
      </c>
      <c t="s" s="30" r="L1747">
        <v>160</v>
      </c>
      <c s="30" r="M1747">
        <v>24</v>
      </c>
      <c s="26" r="N1747">
        <v>0.3</v>
      </c>
      <c s="23" r="O1747">
        <v>0.003</v>
      </c>
      <c s="7" r="P1747"/>
      <c s="7" r="Q1747"/>
      <c s="7" r="R1747">
        <f>IF((P1747&gt;0),O1747,0)</f>
        <v>0</v>
      </c>
      <c t="str" r="S1747">
        <f>CONCATENATE(F1747,E1747)</f>
        <v>NON FTLNON FTL</v>
      </c>
    </row>
    <row r="1748">
      <c t="s" s="7" r="A1748">
        <v>201</v>
      </c>
      <c s="7" r="B1748">
        <v>1775</v>
      </c>
      <c s="30" r="C1748">
        <v>15</v>
      </c>
      <c t="s" s="30" r="D1748">
        <v>136</v>
      </c>
      <c t="s" s="30" r="E1748">
        <v>4</v>
      </c>
      <c t="s" s="30" r="F1748">
        <v>4</v>
      </c>
      <c t="s" s="30" r="G1748">
        <v>262</v>
      </c>
      <c t="str" s="12" r="H1748">
        <f>HYPERLINK("http://sofifa.com/en/fifa13winter/player/147854-sergey-kislyak","S. Kislyak")</f>
        <v>S. Kislyak</v>
      </c>
      <c s="30" r="I1748">
        <v>63</v>
      </c>
      <c t="s" s="30" r="J1748">
        <v>124</v>
      </c>
      <c t="s" s="30" r="K1748">
        <v>132</v>
      </c>
      <c t="s" s="30" r="L1748">
        <v>122</v>
      </c>
      <c s="30" r="M1748">
        <v>25</v>
      </c>
      <c s="26" r="N1748">
        <v>0.8</v>
      </c>
      <c s="23" r="O1748">
        <v>0.004</v>
      </c>
      <c s="7" r="P1748"/>
      <c s="7" r="Q1748"/>
      <c s="7" r="R1748">
        <f>IF((P1748&gt;0),O1748,0)</f>
        <v>0</v>
      </c>
      <c t="str" r="S1748">
        <f>CONCATENATE(F1748,E1748)</f>
        <v>NON FTLNON FTL</v>
      </c>
    </row>
    <row r="1749">
      <c t="s" s="7" r="A1749">
        <v>201</v>
      </c>
      <c s="7" r="B1749">
        <v>1776</v>
      </c>
      <c s="30" r="C1749">
        <v>62</v>
      </c>
      <c t="s" s="30" r="D1749">
        <v>136</v>
      </c>
      <c t="s" s="30" r="E1749">
        <v>4</v>
      </c>
      <c t="s" s="30" r="F1749">
        <v>4</v>
      </c>
      <c t="s" s="30" r="G1749">
        <v>262</v>
      </c>
      <c t="str" s="12" r="H1749">
        <f>HYPERLINK("http://sofifa.com/en/fifa13winter/player/149499-solomon-kverkvelia","S. Kverkvelia")</f>
        <v>S. Kverkvelia</v>
      </c>
      <c s="30" r="I1749">
        <v>67</v>
      </c>
      <c t="s" s="30" r="J1749">
        <v>113</v>
      </c>
      <c t="s" s="30" r="K1749">
        <v>152</v>
      </c>
      <c t="s" s="30" r="L1749">
        <v>151</v>
      </c>
      <c s="30" r="M1749">
        <v>20</v>
      </c>
      <c s="26" r="N1749">
        <v>1.5</v>
      </c>
      <c s="23" r="O1749">
        <v>0.005</v>
      </c>
      <c s="7" r="P1749"/>
      <c s="7" r="Q1749"/>
      <c s="7" r="R1749">
        <f>IF((P1749&gt;0),O1749,0)</f>
        <v>0</v>
      </c>
      <c t="str" r="S1749">
        <f>CONCATENATE(F1749,E1749)</f>
        <v>NON FTLNON FTL</v>
      </c>
    </row>
    <row r="1750">
      <c t="s" s="7" r="A1750">
        <v>201</v>
      </c>
      <c s="7" r="B1750">
        <v>1777</v>
      </c>
      <c s="30" r="C1750">
        <v>24</v>
      </c>
      <c t="s" s="30" r="D1750">
        <v>136</v>
      </c>
      <c t="s" s="30" r="E1750">
        <v>4</v>
      </c>
      <c t="s" s="30" r="F1750">
        <v>4</v>
      </c>
      <c t="s" s="30" r="G1750">
        <v>262</v>
      </c>
      <c t="str" s="12" r="H1750">
        <f>HYPERLINK("http://sofifa.com/en/fifa13winter/player/147971-giedrius-arlauskis","G. Arlauskis")</f>
        <v>G. Arlauskis</v>
      </c>
      <c s="30" r="I1750">
        <v>72</v>
      </c>
      <c t="s" s="30" r="J1750">
        <v>106</v>
      </c>
      <c t="s" s="30" r="K1750">
        <v>167</v>
      </c>
      <c t="s" s="30" r="L1750">
        <v>153</v>
      </c>
      <c s="30" r="M1750">
        <v>24</v>
      </c>
      <c s="26" r="N1750">
        <v>2.2</v>
      </c>
      <c s="23" r="O1750">
        <v>0.009</v>
      </c>
      <c s="7" r="P1750"/>
      <c s="7" r="Q1750"/>
      <c s="7" r="R1750">
        <f>IF((P1750&gt;0),O1750,0)</f>
        <v>0</v>
      </c>
      <c t="str" r="S1750">
        <f>CONCATENATE(F1750,E1750)</f>
        <v>NON FTLNON FTL</v>
      </c>
    </row>
    <row r="1751">
      <c t="s" s="7" r="A1751">
        <v>201</v>
      </c>
      <c s="7" r="B1751">
        <v>1778</v>
      </c>
      <c s="30" r="C1751">
        <v>69</v>
      </c>
      <c t="s" s="30" r="D1751">
        <v>136</v>
      </c>
      <c t="s" s="30" r="E1751">
        <v>4</v>
      </c>
      <c t="s" s="30" r="F1751">
        <v>4</v>
      </c>
      <c t="s" s="30" r="G1751">
        <v>262</v>
      </c>
      <c t="str" s="12" r="H1751">
        <f>HYPERLINK("http://sofifa.com/en/fifa13winter/player/150559-serdar-azmoun","S. Azmoun")</f>
        <v>S. Azmoun</v>
      </c>
      <c s="30" r="I1751">
        <v>55</v>
      </c>
      <c t="s" s="30" r="J1751">
        <v>129</v>
      </c>
      <c t="s" s="30" r="K1751">
        <v>118</v>
      </c>
      <c t="s" s="30" r="L1751">
        <v>146</v>
      </c>
      <c s="30" r="M1751">
        <v>17</v>
      </c>
      <c s="26" r="N1751">
        <v>0.1</v>
      </c>
      <c s="23" r="O1751">
        <v>0.001</v>
      </c>
      <c s="7" r="P1751"/>
      <c s="7" r="Q1751"/>
      <c s="7" r="R1751">
        <f>IF((P1751&gt;0),O1751,0)</f>
        <v>0</v>
      </c>
      <c t="str" r="S1751">
        <f>CONCATENATE(F1751,E1751)</f>
        <v>NON FTLNON FTL</v>
      </c>
    </row>
    <row r="1752">
      <c t="s" s="7" r="A1752">
        <v>201</v>
      </c>
      <c s="7" r="B1752">
        <v>1779</v>
      </c>
      <c s="30" r="C1752">
        <v>55</v>
      </c>
      <c t="s" s="30" r="D1752">
        <v>136</v>
      </c>
      <c t="s" s="30" r="E1752">
        <v>4</v>
      </c>
      <c t="s" s="30" r="F1752">
        <v>4</v>
      </c>
      <c t="s" s="30" r="G1752">
        <v>262</v>
      </c>
      <c t="str" s="12" r="H1752">
        <f>HYPERLINK("http://sofifa.com/en/fifa13winter/player/149482-gokhan-tore","G. Töre")</f>
        <v>G. Töre</v>
      </c>
      <c s="30" r="I1752">
        <v>75</v>
      </c>
      <c t="s" s="30" r="J1752">
        <v>120</v>
      </c>
      <c t="s" s="30" r="K1752">
        <v>172</v>
      </c>
      <c t="s" s="30" r="L1752">
        <v>153</v>
      </c>
      <c s="30" r="M1752">
        <v>20</v>
      </c>
      <c s="26" r="N1752">
        <v>4.8</v>
      </c>
      <c s="23" r="O1752">
        <v>0.011</v>
      </c>
      <c s="7" r="P1752"/>
      <c s="7" r="Q1752"/>
      <c s="7" r="R1752">
        <f>IF((P1752&gt;0),O1752,0)</f>
        <v>0</v>
      </c>
      <c t="str" r="S1752">
        <f>CONCATENATE(F1752,E1752)</f>
        <v>NON FTLNON FTL</v>
      </c>
    </row>
    <row r="1753">
      <c t="s" s="7" r="A1753">
        <v>201</v>
      </c>
      <c s="7" r="B1753">
        <v>1780</v>
      </c>
      <c s="30" r="C1753">
        <v>19</v>
      </c>
      <c t="s" s="30" r="D1753">
        <v>136</v>
      </c>
      <c t="s" s="30" r="E1753">
        <v>4</v>
      </c>
      <c t="s" s="30" r="F1753">
        <v>4</v>
      </c>
      <c t="s" s="30" r="G1753">
        <v>262</v>
      </c>
      <c t="str" s="12" r="H1753">
        <f>HYPERLINK("http://sofifa.com/en/fifa13winter/player/145356-vitaliy-kaleshin","V. Kaleshin")</f>
        <v>V. Kaleshin</v>
      </c>
      <c s="30" r="I1753">
        <v>68</v>
      </c>
      <c t="s" s="30" r="J1753">
        <v>109</v>
      </c>
      <c t="s" s="30" r="K1753">
        <v>130</v>
      </c>
      <c t="s" s="30" r="L1753">
        <v>163</v>
      </c>
      <c s="30" r="M1753">
        <v>31</v>
      </c>
      <c s="26" r="N1753">
        <v>1.2</v>
      </c>
      <c s="23" r="O1753">
        <v>0.007</v>
      </c>
      <c s="7" r="P1753"/>
      <c s="7" r="Q1753"/>
      <c s="7" r="R1753">
        <f>IF((P1753&gt;0),O1753,0)</f>
        <v>0</v>
      </c>
      <c t="str" r="S1753">
        <f>CONCATENATE(F1753,E1753)</f>
        <v>NON FTLNON FTL</v>
      </c>
    </row>
    <row r="1754">
      <c t="s" s="7" r="A1754">
        <v>201</v>
      </c>
      <c s="7" r="B1754">
        <v>1781</v>
      </c>
      <c s="30" r="C1754">
        <v>20</v>
      </c>
      <c t="s" s="30" r="D1754">
        <v>136</v>
      </c>
      <c t="s" s="30" r="E1754">
        <v>4</v>
      </c>
      <c t="s" s="30" r="F1754">
        <v>4</v>
      </c>
      <c t="s" s="30" r="G1754">
        <v>262</v>
      </c>
      <c t="str" s="12" r="H1754">
        <f>HYPERLINK("http://sofifa.com/en/fifa13winter/player/146258-alexei-eremenko","A. Eremenko")</f>
        <v>A. Eremenko</v>
      </c>
      <c s="30" r="I1754">
        <v>74</v>
      </c>
      <c t="s" s="30" r="J1754">
        <v>162</v>
      </c>
      <c t="s" s="30" r="K1754">
        <v>114</v>
      </c>
      <c t="s" s="30" r="L1754">
        <v>158</v>
      </c>
      <c s="30" r="M1754">
        <v>29</v>
      </c>
      <c s="26" r="N1754">
        <v>3.5</v>
      </c>
      <c s="23" r="O1754">
        <v>0.012</v>
      </c>
      <c s="7" r="P1754"/>
      <c s="7" r="Q1754"/>
      <c s="7" r="R1754">
        <f>IF((P1754&gt;0),O1754,0)</f>
        <v>0</v>
      </c>
      <c t="str" r="S1754">
        <f>CONCATENATE(F1754,E1754)</f>
        <v>NON FTLNON FTL</v>
      </c>
    </row>
    <row r="1755">
      <c t="s" s="7" r="A1755">
        <v>201</v>
      </c>
      <c s="7" r="B1755">
        <v>1782</v>
      </c>
      <c s="30" r="C1755">
        <v>10</v>
      </c>
      <c t="s" s="30" r="D1755">
        <v>136</v>
      </c>
      <c t="s" s="30" r="E1755">
        <v>4</v>
      </c>
      <c t="s" s="30" r="F1755">
        <v>4</v>
      </c>
      <c t="s" s="30" r="G1755">
        <v>262</v>
      </c>
      <c t="str" s="12" r="H1755">
        <f>HYPERLINK("http://sofifa.com/en/fifa13winter/player/147369-alan-kasaev","A. Kasaev")</f>
        <v>A. Kasaev</v>
      </c>
      <c s="30" r="I1755">
        <v>77</v>
      </c>
      <c t="s" s="30" r="J1755">
        <v>120</v>
      </c>
      <c t="s" s="30" r="K1755">
        <v>182</v>
      </c>
      <c t="s" s="30" r="L1755">
        <v>137</v>
      </c>
      <c s="30" r="M1755">
        <v>26</v>
      </c>
      <c s="26" r="N1755">
        <v>5.8</v>
      </c>
      <c s="23" r="O1755">
        <v>0.017</v>
      </c>
      <c s="7" r="P1755"/>
      <c s="7" r="Q1755"/>
      <c s="7" r="R1755">
        <f>IF((P1755&gt;0),O1755,0)</f>
        <v>0</v>
      </c>
      <c t="str" r="S1755">
        <f>CONCATENATE(F1755,E1755)</f>
        <v>NON FTLNON FTL</v>
      </c>
    </row>
    <row r="1756">
      <c t="s" s="7" r="A1756">
        <v>201</v>
      </c>
      <c s="7" r="B1756">
        <v>1783</v>
      </c>
      <c s="30" r="C1756">
        <v>31</v>
      </c>
      <c t="s" s="30" r="D1756">
        <v>147</v>
      </c>
      <c t="s" s="30" r="E1756">
        <v>4</v>
      </c>
      <c t="s" s="30" r="F1756">
        <v>4</v>
      </c>
      <c t="s" s="30" r="G1756">
        <v>262</v>
      </c>
      <c t="str" s="12" r="H1756">
        <f>HYPERLINK("http://sofifa.com/en/fifa13winter/player/149934-alexey-berezin","A. Berezin")</f>
        <v>A. Berezin</v>
      </c>
      <c s="30" r="I1756">
        <v>55</v>
      </c>
      <c t="s" s="30" r="J1756">
        <v>106</v>
      </c>
      <c t="s" s="30" r="K1756">
        <v>152</v>
      </c>
      <c t="s" s="30" r="L1756">
        <v>193</v>
      </c>
      <c s="30" r="M1756">
        <v>19</v>
      </c>
      <c s="26" r="N1756">
        <v>0.1</v>
      </c>
      <c s="23" r="O1756">
        <v>0.002</v>
      </c>
      <c s="7" r="P1756"/>
      <c s="7" r="Q1756"/>
      <c s="7" r="R1756">
        <f>IF((P1756&gt;0),O1756,0)</f>
        <v>0</v>
      </c>
      <c t="str" r="S1756">
        <f>CONCATENATE(F1756,E1756)</f>
        <v>NON FTLNON FTL</v>
      </c>
    </row>
    <row r="1757">
      <c t="s" s="7" r="A1757">
        <v>201</v>
      </c>
      <c s="7" r="B1757">
        <v>1784</v>
      </c>
      <c s="30" r="C1757">
        <v>68</v>
      </c>
      <c t="s" s="30" r="D1757">
        <v>147</v>
      </c>
      <c t="s" s="30" r="E1757">
        <v>4</v>
      </c>
      <c t="s" s="30" r="F1757">
        <v>4</v>
      </c>
      <c t="s" s="30" r="G1757">
        <v>262</v>
      </c>
      <c t="str" s="12" r="H1757">
        <f>HYPERLINK("http://sofifa.com/en/fifa13winter/player/149576-dmitriy-volkotrub","D. Volkotrub")</f>
        <v>D. Volkotrub</v>
      </c>
      <c s="30" r="I1757">
        <v>59</v>
      </c>
      <c t="s" s="30" r="J1757">
        <v>106</v>
      </c>
      <c t="s" s="30" r="K1757">
        <v>134</v>
      </c>
      <c t="s" s="30" r="L1757">
        <v>151</v>
      </c>
      <c s="30" r="M1757">
        <v>20</v>
      </c>
      <c s="26" r="N1757">
        <v>0.4</v>
      </c>
      <c s="23" r="O1757">
        <v>0.002</v>
      </c>
      <c s="7" r="P1757"/>
      <c s="7" r="Q1757"/>
      <c s="7" r="R1757">
        <f>IF((P1757&gt;0),O1757,0)</f>
        <v>0</v>
      </c>
      <c t="str" r="S1757">
        <f>CONCATENATE(F1757,E1757)</f>
        <v>NON FTLNON FTL</v>
      </c>
    </row>
    <row r="1758">
      <c t="s" s="7" r="A1758">
        <v>201</v>
      </c>
      <c s="7" r="B1758">
        <v>1785</v>
      </c>
      <c s="30" r="C1758">
        <v>6</v>
      </c>
      <c t="s" s="30" r="D1758">
        <v>147</v>
      </c>
      <c t="s" s="30" r="E1758">
        <v>4</v>
      </c>
      <c t="s" s="30" r="F1758">
        <v>4</v>
      </c>
      <c t="s" s="30" r="G1758">
        <v>262</v>
      </c>
      <c t="str" s="12" r="H1758">
        <f>HYPERLINK("http://sofifa.com/en/fifa13winter/player/144751-pablo-orbaiz-lesaka","Orbaiz")</f>
        <v>Orbaiz</v>
      </c>
      <c s="30" r="I1758">
        <v>73</v>
      </c>
      <c t="s" s="30" r="J1758">
        <v>154</v>
      </c>
      <c t="s" s="30" r="K1758">
        <v>145</v>
      </c>
      <c t="s" s="30" r="L1758">
        <v>151</v>
      </c>
      <c s="30" r="M1758">
        <v>33</v>
      </c>
      <c s="26" r="N1758">
        <v>2</v>
      </c>
      <c s="23" r="O1758">
        <v>0.012</v>
      </c>
      <c s="7" r="P1758"/>
      <c s="7" r="Q1758"/>
      <c s="7" r="R1758">
        <f>IF((P1758&gt;0),O1758,0)</f>
        <v>0</v>
      </c>
      <c t="str" r="S1758">
        <f>CONCATENATE(F1758,E1758)</f>
        <v>NON FTLNON FTL</v>
      </c>
    </row>
    <row r="1759">
      <c t="s" s="7" r="A1759">
        <v>201</v>
      </c>
      <c s="7" r="B1759">
        <v>1786</v>
      </c>
      <c s="30" r="C1759">
        <v>33</v>
      </c>
      <c t="s" s="30" r="D1759">
        <v>147</v>
      </c>
      <c t="s" s="30" r="E1759">
        <v>4</v>
      </c>
      <c t="s" s="30" r="F1759">
        <v>4</v>
      </c>
      <c t="s" s="30" r="G1759">
        <v>262</v>
      </c>
      <c t="str" s="12" r="H1759">
        <f>HYPERLINK("http://sofifa.com/en/fifa13winter/player/146964-vladislav-kulik","V. Kulik")</f>
        <v>V. Kulik</v>
      </c>
      <c s="30" r="I1759">
        <v>71</v>
      </c>
      <c t="s" s="30" r="J1759">
        <v>154</v>
      </c>
      <c t="s" s="30" r="K1759">
        <v>114</v>
      </c>
      <c t="s" s="30" r="L1759">
        <v>137</v>
      </c>
      <c s="30" r="M1759">
        <v>27</v>
      </c>
      <c s="26" r="N1759">
        <v>2</v>
      </c>
      <c s="23" r="O1759">
        <v>0.008</v>
      </c>
      <c s="7" r="P1759"/>
      <c s="7" r="Q1759"/>
      <c s="7" r="R1759">
        <f>IF((P1759&gt;0),O1759,0)</f>
        <v>0</v>
      </c>
      <c t="str" r="S1759">
        <f>CONCATENATE(F1759,E1759)</f>
        <v>NON FTLNON FTL</v>
      </c>
    </row>
    <row r="1760">
      <c t="s" s="7" r="A1760">
        <v>201</v>
      </c>
      <c s="7" r="B1760">
        <v>1787</v>
      </c>
      <c s="30" r="C1760">
        <v>32</v>
      </c>
      <c t="s" s="30" r="D1760">
        <v>147</v>
      </c>
      <c t="s" s="30" r="E1760">
        <v>4</v>
      </c>
      <c t="s" s="30" r="F1760">
        <v>4</v>
      </c>
      <c t="s" s="30" r="G1760">
        <v>262</v>
      </c>
      <c t="str" s="12" r="H1760">
        <f>HYPERLINK("http://sofifa.com/en/fifa13winter/player/147109-sergey-davydov","S. Davydov")</f>
        <v>S. Davydov</v>
      </c>
      <c s="30" r="I1760">
        <v>70</v>
      </c>
      <c t="s" s="30" r="J1760">
        <v>129</v>
      </c>
      <c t="s" s="30" r="K1760">
        <v>134</v>
      </c>
      <c t="s" s="30" r="L1760">
        <v>179</v>
      </c>
      <c s="30" r="M1760">
        <v>27</v>
      </c>
      <c s="26" r="N1760">
        <v>2.1</v>
      </c>
      <c s="23" r="O1760">
        <v>0.007</v>
      </c>
      <c s="7" r="P1760"/>
      <c s="7" r="Q1760"/>
      <c s="7" r="R1760">
        <f>IF((P1760&gt;0),O1760,0)</f>
        <v>0</v>
      </c>
      <c t="str" r="S1760">
        <f>CONCATENATE(F1760,E1760)</f>
        <v>NON FTLNON FTL</v>
      </c>
    </row>
    <row r="1761">
      <c t="s" s="7" r="A1761">
        <v>201</v>
      </c>
      <c s="7" r="B1761">
        <v>1788</v>
      </c>
      <c s="30" r="C1761">
        <v>40</v>
      </c>
      <c t="s" s="30" r="D1761">
        <v>147</v>
      </c>
      <c t="s" s="30" r="E1761">
        <v>4</v>
      </c>
      <c t="s" s="30" r="F1761">
        <v>4</v>
      </c>
      <c t="s" s="30" r="G1761">
        <v>262</v>
      </c>
      <c t="str" s="12" r="H1761">
        <f>HYPERLINK("http://sofifa.com/en/fifa13winter/player/147919-vagiz-galiulin","V. Galiulin")</f>
        <v>V. Galiulin</v>
      </c>
      <c s="30" r="I1761">
        <v>64</v>
      </c>
      <c t="s" s="30" r="J1761">
        <v>124</v>
      </c>
      <c t="s" s="30" r="K1761">
        <v>139</v>
      </c>
      <c t="s" s="30" r="L1761">
        <v>125</v>
      </c>
      <c s="30" r="M1761">
        <v>24</v>
      </c>
      <c s="26" r="N1761">
        <v>0.9</v>
      </c>
      <c s="23" r="O1761">
        <v>0.004</v>
      </c>
      <c s="7" r="P1761"/>
      <c s="7" r="Q1761"/>
      <c s="7" r="R1761">
        <f>IF((P1761&gt;0),O1761,0)</f>
        <v>0</v>
      </c>
      <c t="str" r="S1761">
        <f>CONCATENATE(F1761,E1761)</f>
        <v>NON FTLNON FTL</v>
      </c>
    </row>
    <row r="1762">
      <c t="s" s="7" r="A1762">
        <v>201</v>
      </c>
      <c s="7" r="B1762">
        <v>1789</v>
      </c>
      <c s="30" r="C1762">
        <v>88</v>
      </c>
      <c t="s" s="30" r="D1762">
        <v>147</v>
      </c>
      <c t="s" s="30" r="E1762">
        <v>4</v>
      </c>
      <c t="s" s="30" r="F1762">
        <v>4</v>
      </c>
      <c t="s" s="30" r="G1762">
        <v>262</v>
      </c>
      <c t="str" s="12" r="H1762">
        <f>HYPERLINK("http://sofifa.com/en/fifa13winter/player/148124-alireza-haghighi","A. Haghighi")</f>
        <v>A. Haghighi</v>
      </c>
      <c s="30" r="I1762">
        <v>55</v>
      </c>
      <c t="s" s="30" r="J1762">
        <v>106</v>
      </c>
      <c t="s" s="30" r="K1762">
        <v>107</v>
      </c>
      <c t="s" s="30" r="L1762">
        <v>153</v>
      </c>
      <c s="30" r="M1762">
        <v>24</v>
      </c>
      <c s="26" r="N1762">
        <v>0.1</v>
      </c>
      <c s="23" r="O1762">
        <v>0.002</v>
      </c>
      <c s="7" r="P1762"/>
      <c s="7" r="Q1762"/>
      <c s="7" r="R1762">
        <f>IF((P1762&gt;0),O1762,0)</f>
        <v>0</v>
      </c>
      <c t="str" r="S1762">
        <f>CONCATENATE(F1762,E1762)</f>
        <v>NON FTLNON FTL</v>
      </c>
    </row>
    <row r="1763">
      <c t="s" s="7" r="A1763">
        <v>201</v>
      </c>
      <c s="7" r="B1763">
        <v>1790</v>
      </c>
      <c s="30" r="C1763">
        <v>12</v>
      </c>
      <c t="s" s="30" r="D1763">
        <v>106</v>
      </c>
      <c t="s" s="30" r="E1763">
        <v>4</v>
      </c>
      <c t="s" s="30" r="F1763">
        <v>4</v>
      </c>
      <c t="s" s="30" r="G1763">
        <v>263</v>
      </c>
      <c t="str" s="12" r="H1763">
        <f>HYPERLINK("http://sofifa.com/en/fifa13winter/player/147649-marcelo-grohe","Marcelo Grohe")</f>
        <v>Marcelo Grohe</v>
      </c>
      <c s="30" r="I1763">
        <v>77</v>
      </c>
      <c t="s" s="30" r="J1763">
        <v>106</v>
      </c>
      <c t="s" s="30" r="K1763">
        <v>134</v>
      </c>
      <c t="s" s="30" r="L1763">
        <v>183</v>
      </c>
      <c s="30" r="M1763">
        <v>25</v>
      </c>
      <c s="26" r="N1763">
        <v>4.8</v>
      </c>
      <c s="23" r="O1763">
        <v>0.017</v>
      </c>
      <c s="7" r="P1763"/>
      <c s="7" r="Q1763"/>
      <c s="7" r="R1763">
        <f>IF((P1763&gt;0),O1763,0)</f>
        <v>0</v>
      </c>
      <c t="str" r="S1763">
        <f>CONCATENATE(F1763,E1763)</f>
        <v>NON FTLNON FTL</v>
      </c>
    </row>
    <row r="1764">
      <c t="s" s="7" r="A1764">
        <v>201</v>
      </c>
      <c s="7" r="B1764">
        <v>1791</v>
      </c>
      <c s="30" r="C1764">
        <v>2</v>
      </c>
      <c t="s" s="30" r="D1764">
        <v>109</v>
      </c>
      <c t="s" s="30" r="E1764">
        <v>4</v>
      </c>
      <c t="s" s="30" r="F1764">
        <v>4</v>
      </c>
      <c t="s" s="30" r="G1764">
        <v>263</v>
      </c>
      <c t="str" s="12" r="H1764">
        <f>HYPERLINK("http://sofifa.com/en/fifa13winter/player/147316-marcos-rogerio-ricci-lopes","Pará")</f>
        <v>Pará</v>
      </c>
      <c s="30" r="I1764">
        <v>70</v>
      </c>
      <c t="s" s="30" r="J1764">
        <v>109</v>
      </c>
      <c t="s" s="30" r="K1764">
        <v>195</v>
      </c>
      <c t="s" s="30" r="L1764">
        <v>142</v>
      </c>
      <c s="30" r="M1764">
        <v>26</v>
      </c>
      <c s="26" r="N1764">
        <v>1.7</v>
      </c>
      <c s="23" r="O1764">
        <v>0.007</v>
      </c>
      <c s="7" r="P1764"/>
      <c s="7" r="Q1764"/>
      <c s="7" r="R1764">
        <f>IF((P1764&gt;0),O1764,0)</f>
        <v>0</v>
      </c>
      <c t="str" r="S1764">
        <f>CONCATENATE(F1764,E1764)</f>
        <v>NON FTLNON FTL</v>
      </c>
    </row>
    <row r="1765">
      <c t="s" s="7" r="A1765">
        <v>201</v>
      </c>
      <c s="7" r="B1765">
        <v>1792</v>
      </c>
      <c s="30" r="C1765">
        <v>15</v>
      </c>
      <c t="s" s="30" r="D1765">
        <v>112</v>
      </c>
      <c t="s" s="30" r="E1765">
        <v>4</v>
      </c>
      <c t="s" s="30" r="F1765">
        <v>4</v>
      </c>
      <c t="s" s="30" r="G1765">
        <v>263</v>
      </c>
      <c t="str" s="12" r="H1765">
        <f>HYPERLINK("http://sofifa.com/en/fifa13winter/player/149843-matheus-simoneti-bressaneli","Bressan")</f>
        <v>Bressan</v>
      </c>
      <c s="30" r="I1765">
        <v>70</v>
      </c>
      <c t="s" s="30" r="J1765">
        <v>113</v>
      </c>
      <c t="s" s="30" r="K1765">
        <v>143</v>
      </c>
      <c t="s" s="30" r="L1765">
        <v>160</v>
      </c>
      <c s="30" r="M1765">
        <v>19</v>
      </c>
      <c s="26" r="N1765">
        <v>2.1</v>
      </c>
      <c s="23" r="O1765">
        <v>0.005</v>
      </c>
      <c s="7" r="P1765"/>
      <c s="7" r="Q1765"/>
      <c s="7" r="R1765">
        <f>IF((P1765&gt;0),O1765,0)</f>
        <v>0</v>
      </c>
      <c t="str" r="S1765">
        <f>CONCATENATE(F1765,E1765)</f>
        <v>NON FTLNON FTL</v>
      </c>
    </row>
    <row r="1766">
      <c t="s" s="7" r="A1766">
        <v>201</v>
      </c>
      <c s="7" r="B1766">
        <v>1793</v>
      </c>
      <c s="30" r="C1766">
        <v>4</v>
      </c>
      <c t="s" s="30" r="D1766">
        <v>116</v>
      </c>
      <c t="s" s="30" r="E1766">
        <v>4</v>
      </c>
      <c t="s" s="30" r="F1766">
        <v>4</v>
      </c>
      <c t="s" s="30" r="G1766">
        <v>263</v>
      </c>
      <c t="str" s="12" r="H1766">
        <f>HYPERLINK("http://sofifa.com/en/fifa13winter/player/148250-werley-ananias-da-silva","Werley")</f>
        <v>Werley</v>
      </c>
      <c s="30" r="I1766">
        <v>73</v>
      </c>
      <c t="s" s="30" r="J1766">
        <v>113</v>
      </c>
      <c t="s" s="30" r="K1766">
        <v>167</v>
      </c>
      <c t="s" s="30" r="L1766">
        <v>183</v>
      </c>
      <c s="30" r="M1766">
        <v>23</v>
      </c>
      <c s="26" r="N1766">
        <v>3.1</v>
      </c>
      <c s="23" r="O1766">
        <v>0.009</v>
      </c>
      <c s="7" r="P1766"/>
      <c s="7" r="Q1766"/>
      <c s="7" r="R1766">
        <f>IF((P1766&gt;0),O1766,0)</f>
        <v>0</v>
      </c>
      <c t="str" r="S1766">
        <f>CONCATENATE(F1766,E1766)</f>
        <v>NON FTLNON FTL</v>
      </c>
    </row>
    <row r="1767">
      <c t="s" s="7" r="A1767">
        <v>201</v>
      </c>
      <c s="7" r="B1767">
        <v>1794</v>
      </c>
      <c s="30" r="C1767">
        <v>13</v>
      </c>
      <c t="s" s="30" r="D1767">
        <v>117</v>
      </c>
      <c t="s" s="30" r="E1767">
        <v>4</v>
      </c>
      <c t="s" s="30" r="F1767">
        <v>4</v>
      </c>
      <c t="s" s="30" r="G1767">
        <v>263</v>
      </c>
      <c t="str" s="12" r="H1767">
        <f>HYPERLINK("http://sofifa.com/en/fifa13winter/player/149812-alex-nicolao-telles","Alex Telles")</f>
        <v>Alex Telles</v>
      </c>
      <c s="30" r="I1767">
        <v>67</v>
      </c>
      <c t="s" s="30" r="J1767">
        <v>117</v>
      </c>
      <c t="s" s="30" r="K1767">
        <v>150</v>
      </c>
      <c t="s" s="30" r="L1767">
        <v>142</v>
      </c>
      <c s="30" r="M1767">
        <v>19</v>
      </c>
      <c s="26" r="N1767">
        <v>1.4</v>
      </c>
      <c s="23" r="O1767">
        <v>0.004</v>
      </c>
      <c s="7" r="P1767"/>
      <c s="7" r="Q1767"/>
      <c s="7" r="R1767">
        <f>IF((P1767&gt;0),O1767,0)</f>
        <v>0</v>
      </c>
      <c t="str" r="S1767">
        <f>CONCATENATE(F1767,E1767)</f>
        <v>NON FTLNON FTL</v>
      </c>
    </row>
    <row r="1768">
      <c t="s" s="7" r="A1768">
        <v>201</v>
      </c>
      <c s="7" r="B1768">
        <v>1795</v>
      </c>
      <c s="30" r="C1768">
        <v>17</v>
      </c>
      <c t="s" s="30" r="D1768">
        <v>186</v>
      </c>
      <c t="s" s="30" r="E1768">
        <v>4</v>
      </c>
      <c t="s" s="30" r="F1768">
        <v>4</v>
      </c>
      <c t="s" s="30" r="G1768">
        <v>263</v>
      </c>
      <c t="str" s="12" r="H1768">
        <f>HYPERLINK("http://sofifa.com/en/fifa13winter/player/149525-fernando-lucas-martins","Fernando")</f>
        <v>Fernando</v>
      </c>
      <c s="30" r="I1768">
        <v>76</v>
      </c>
      <c t="s" s="30" r="J1768">
        <v>154</v>
      </c>
      <c t="s" s="30" r="K1768">
        <v>182</v>
      </c>
      <c t="s" s="30" r="L1768">
        <v>137</v>
      </c>
      <c s="30" r="M1768">
        <v>20</v>
      </c>
      <c s="26" r="N1768">
        <v>5.5</v>
      </c>
      <c s="23" r="O1768">
        <v>0.012</v>
      </c>
      <c s="7" r="P1768"/>
      <c s="7" r="Q1768"/>
      <c s="7" r="R1768">
        <f>IF((P1768&gt;0),O1768,0)</f>
        <v>0</v>
      </c>
      <c t="str" r="S1768">
        <f>CONCATENATE(F1768,E1768)</f>
        <v>NON FTLNON FTL</v>
      </c>
    </row>
    <row r="1769">
      <c t="s" s="7" r="A1769">
        <v>201</v>
      </c>
      <c s="7" r="B1769">
        <v>1796</v>
      </c>
      <c s="30" r="C1769">
        <v>5</v>
      </c>
      <c t="s" s="30" r="D1769">
        <v>174</v>
      </c>
      <c t="s" s="30" r="E1769">
        <v>4</v>
      </c>
      <c t="s" s="30" r="F1769">
        <v>4</v>
      </c>
      <c t="s" s="30" r="G1769">
        <v>263</v>
      </c>
      <c t="str" s="12" r="H1769">
        <f>HYPERLINK("http://sofifa.com/en/fifa13winter/player/148409-josef-de-souza-dias","Souza")</f>
        <v>Souza</v>
      </c>
      <c s="30" r="I1769">
        <v>75</v>
      </c>
      <c t="s" s="30" r="J1769">
        <v>154</v>
      </c>
      <c t="s" s="30" r="K1769">
        <v>134</v>
      </c>
      <c t="s" s="30" r="L1769">
        <v>153</v>
      </c>
      <c s="30" r="M1769">
        <v>23</v>
      </c>
      <c s="26" r="N1769">
        <v>4.4</v>
      </c>
      <c s="23" r="O1769">
        <v>0.012</v>
      </c>
      <c s="7" r="P1769"/>
      <c s="7" r="Q1769"/>
      <c s="7" r="R1769">
        <f>IF((P1769&gt;0),O1769,0)</f>
        <v>0</v>
      </c>
      <c t="str" r="S1769">
        <f>CONCATENATE(F1769,E1769)</f>
        <v>NON FTLNON FTL</v>
      </c>
    </row>
    <row r="1770">
      <c t="s" s="7" r="A1770">
        <v>201</v>
      </c>
      <c s="7" r="B1770">
        <v>1797</v>
      </c>
      <c s="30" r="C1770">
        <v>7</v>
      </c>
      <c t="s" s="30" r="D1770">
        <v>234</v>
      </c>
      <c t="s" s="30" r="E1770">
        <v>4</v>
      </c>
      <c t="s" s="30" r="F1770">
        <v>4</v>
      </c>
      <c t="s" s="30" r="G1770">
        <v>263</v>
      </c>
      <c t="str" s="12" r="H1770">
        <f>HYPERLINK("http://sofifa.com/en/fifa13winter/player/145610-elano-blumer","Elano")</f>
        <v>Elano</v>
      </c>
      <c s="30" r="I1770">
        <v>78</v>
      </c>
      <c t="s" s="30" r="J1770">
        <v>162</v>
      </c>
      <c t="s" s="30" r="K1770">
        <v>182</v>
      </c>
      <c t="s" s="30" r="L1770">
        <v>119</v>
      </c>
      <c s="30" r="M1770">
        <v>31</v>
      </c>
      <c s="26" r="N1770">
        <v>5.9</v>
      </c>
      <c s="23" r="O1770">
        <v>0.022</v>
      </c>
      <c s="7" r="P1770"/>
      <c s="7" r="Q1770"/>
      <c s="7" r="R1770">
        <f>IF((P1770&gt;0),O1770,0)</f>
        <v>0</v>
      </c>
      <c t="str" r="S1770">
        <f>CONCATENATE(F1770,E1770)</f>
        <v>NON FTLNON FTL</v>
      </c>
    </row>
    <row r="1771">
      <c t="s" s="7" r="A1771">
        <v>201</v>
      </c>
      <c s="7" r="B1771">
        <v>1798</v>
      </c>
      <c s="30" r="C1771">
        <v>10</v>
      </c>
      <c t="s" s="30" r="D1771">
        <v>235</v>
      </c>
      <c t="s" s="30" r="E1771">
        <v>4</v>
      </c>
      <c t="s" s="30" r="F1771">
        <v>4</v>
      </c>
      <c t="s" s="30" r="G1771">
        <v>263</v>
      </c>
      <c t="str" s="12" r="H1771">
        <f>HYPERLINK("http://sofifa.com/en/fifa13winter/player/143075-jose-roberto-da-silva-junior","Zé Roberto")</f>
        <v>Zé Roberto</v>
      </c>
      <c s="30" r="I1771">
        <v>79</v>
      </c>
      <c t="s" s="30" r="J1771">
        <v>162</v>
      </c>
      <c t="s" s="30" r="K1771">
        <v>187</v>
      </c>
      <c t="s" s="30" r="L1771">
        <v>146</v>
      </c>
      <c s="30" r="M1771">
        <v>38</v>
      </c>
      <c s="26" r="N1771">
        <v>3.7</v>
      </c>
      <c s="23" r="O1771">
        <v>0.028</v>
      </c>
      <c s="7" r="P1771"/>
      <c s="7" r="Q1771"/>
      <c s="7" r="R1771">
        <f>IF((P1771&gt;0),O1771,0)</f>
        <v>0</v>
      </c>
      <c t="str" r="S1771">
        <f>CONCATENATE(F1771,E1771)</f>
        <v>NON FTLNON FTL</v>
      </c>
    </row>
    <row r="1772">
      <c t="s" s="7" r="A1772">
        <v>201</v>
      </c>
      <c s="7" r="B1772">
        <v>1799</v>
      </c>
      <c s="30" r="C1772">
        <v>8</v>
      </c>
      <c t="s" s="30" r="D1772">
        <v>131</v>
      </c>
      <c t="s" s="30" r="E1772">
        <v>4</v>
      </c>
      <c t="s" s="30" r="F1772">
        <v>4</v>
      </c>
      <c t="s" s="30" r="G1772">
        <v>263</v>
      </c>
      <c t="str" s="12" r="H1772">
        <f>HYPERLINK("http://sofifa.com/en/fifa13winter/player/148691-eduardo-vargas","E. Vargas")</f>
        <v>E. Vargas</v>
      </c>
      <c s="30" r="I1772">
        <v>77</v>
      </c>
      <c t="s" s="30" r="J1772">
        <v>171</v>
      </c>
      <c t="s" s="30" r="K1772">
        <v>139</v>
      </c>
      <c t="s" s="30" r="L1772">
        <v>122</v>
      </c>
      <c s="30" r="M1772">
        <v>22</v>
      </c>
      <c s="26" r="N1772">
        <v>8</v>
      </c>
      <c s="23" r="O1772">
        <v>0.015</v>
      </c>
      <c s="7" r="P1772"/>
      <c s="7" r="Q1772"/>
      <c s="7" r="R1772">
        <f>IF((P1772&gt;0),O1772,0)</f>
        <v>0</v>
      </c>
      <c t="str" r="S1772">
        <f>CONCATENATE(F1772,E1772)</f>
        <v>NON FTLNON FTL</v>
      </c>
    </row>
    <row r="1773">
      <c t="s" s="7" r="A1773">
        <v>201</v>
      </c>
      <c s="7" r="B1773">
        <v>1800</v>
      </c>
      <c s="30" r="C1773">
        <v>9</v>
      </c>
      <c t="s" s="30" r="D1773">
        <v>133</v>
      </c>
      <c t="s" s="30" r="E1773">
        <v>4</v>
      </c>
      <c t="s" s="30" r="F1773">
        <v>4</v>
      </c>
      <c t="s" s="30" r="G1773">
        <v>263</v>
      </c>
      <c t="str" s="12" r="H1773">
        <f>HYPERLINK("http://sofifa.com/en/fifa13winter/player/146642-hernan-barcos","H. Barcos")</f>
        <v>H. Barcos</v>
      </c>
      <c s="30" r="I1773">
        <v>78</v>
      </c>
      <c t="s" s="30" r="J1773">
        <v>129</v>
      </c>
      <c t="s" s="30" r="K1773">
        <v>169</v>
      </c>
      <c t="s" s="30" r="L1773">
        <v>183</v>
      </c>
      <c s="30" r="M1773">
        <v>28</v>
      </c>
      <c s="26" r="N1773">
        <v>7.8</v>
      </c>
      <c s="23" r="O1773">
        <v>0.02</v>
      </c>
      <c s="7" r="P1773"/>
      <c s="7" r="Q1773"/>
      <c s="7" r="R1773">
        <f>IF((P1773&gt;0),O1773,0)</f>
        <v>0</v>
      </c>
      <c t="str" r="S1773">
        <f>CONCATENATE(F1773,E1773)</f>
        <v>NON FTLNON FTL</v>
      </c>
    </row>
    <row r="1774">
      <c t="s" s="7" r="A1774">
        <v>201</v>
      </c>
      <c s="7" r="B1774">
        <v>1801</v>
      </c>
      <c s="30" r="C1774">
        <v>24</v>
      </c>
      <c t="s" s="30" r="D1774">
        <v>136</v>
      </c>
      <c t="s" s="30" r="E1774">
        <v>4</v>
      </c>
      <c t="s" s="30" r="F1774">
        <v>4</v>
      </c>
      <c t="s" s="30" r="G1774">
        <v>263</v>
      </c>
      <c t="str" s="12" r="H1774">
        <f>HYPERLINK("http://sofifa.com/en/fifa13winter/player/149028-gustavo-busatto","Gustavo Busatto")</f>
        <v>Gustavo Busatto</v>
      </c>
      <c s="30" r="I1774">
        <v>69</v>
      </c>
      <c t="s" s="30" r="J1774">
        <v>106</v>
      </c>
      <c t="s" s="30" r="K1774">
        <v>169</v>
      </c>
      <c t="s" s="30" r="L1774">
        <v>161</v>
      </c>
      <c s="30" r="M1774">
        <v>21</v>
      </c>
      <c s="26" r="N1774">
        <v>1.6</v>
      </c>
      <c s="23" r="O1774">
        <v>0.006</v>
      </c>
      <c s="7" r="P1774"/>
      <c s="7" r="Q1774"/>
      <c s="7" r="R1774">
        <f>IF((P1774&gt;0),O1774,0)</f>
        <v>0</v>
      </c>
      <c t="str" r="S1774">
        <f>CONCATENATE(F1774,E1774)</f>
        <v>NON FTLNON FTL</v>
      </c>
    </row>
    <row r="1775">
      <c t="s" s="7" r="A1775">
        <v>201</v>
      </c>
      <c s="7" r="B1775">
        <v>1802</v>
      </c>
      <c s="30" r="C1775">
        <v>16</v>
      </c>
      <c t="s" s="30" r="D1775">
        <v>136</v>
      </c>
      <c t="s" s="30" r="E1775">
        <v>4</v>
      </c>
      <c t="s" s="30" r="F1775">
        <v>4</v>
      </c>
      <c t="s" s="30" r="G1775">
        <v>263</v>
      </c>
      <c t="str" s="12" r="H1775">
        <f>HYPERLINK("http://sofifa.com/en/fifa13winter/player/150264-guilherme-bitencourt-da-silva","Biteco")</f>
        <v>Biteco</v>
      </c>
      <c s="30" r="I1775">
        <v>65</v>
      </c>
      <c t="s" s="30" r="J1775">
        <v>162</v>
      </c>
      <c t="s" s="30" r="K1775">
        <v>130</v>
      </c>
      <c t="s" s="30" r="L1775">
        <v>163</v>
      </c>
      <c s="30" r="M1775">
        <v>18</v>
      </c>
      <c s="26" r="N1775">
        <v>1.3</v>
      </c>
      <c s="23" r="O1775">
        <v>0.004</v>
      </c>
      <c s="7" r="P1775"/>
      <c s="7" r="Q1775"/>
      <c s="7" r="R1775">
        <f>IF((P1775&gt;0),O1775,0)</f>
        <v>0</v>
      </c>
      <c t="str" r="S1775">
        <f>CONCATENATE(F1775,E1775)</f>
        <v>NON FTLNON FTL</v>
      </c>
    </row>
    <row r="1776">
      <c t="s" s="7" r="A1776">
        <v>201</v>
      </c>
      <c s="7" r="B1776">
        <v>1803</v>
      </c>
      <c s="30" r="C1776">
        <v>33</v>
      </c>
      <c t="s" s="30" r="D1776">
        <v>136</v>
      </c>
      <c t="s" s="30" r="E1776">
        <v>4</v>
      </c>
      <c t="s" s="30" r="F1776">
        <v>4</v>
      </c>
      <c t="s" s="30" r="G1776">
        <v>263</v>
      </c>
      <c t="str" s="12" r="H1776">
        <f>HYPERLINK("http://sofifa.com/en/fifa13winter/player/150394-lucas-heinzen-coelho","Lucas Coelho")</f>
        <v>Lucas Coelho</v>
      </c>
      <c s="30" r="I1776">
        <v>66</v>
      </c>
      <c t="s" s="30" r="J1776">
        <v>129</v>
      </c>
      <c t="s" s="30" r="K1776">
        <v>110</v>
      </c>
      <c t="s" s="30" r="L1776">
        <v>153</v>
      </c>
      <c s="30" r="M1776">
        <v>18</v>
      </c>
      <c s="26" r="N1776">
        <v>1.6</v>
      </c>
      <c s="23" r="O1776">
        <v>0.004</v>
      </c>
      <c s="7" r="P1776"/>
      <c s="7" r="Q1776"/>
      <c s="7" r="R1776">
        <f>IF((P1776&gt;0),O1776,0)</f>
        <v>0</v>
      </c>
      <c t="str" r="S1776">
        <f>CONCATENATE(F1776,E1776)</f>
        <v>NON FTLNON FTL</v>
      </c>
    </row>
    <row r="1777">
      <c t="s" s="7" r="A1777">
        <v>201</v>
      </c>
      <c s="7" r="B1777">
        <v>1804</v>
      </c>
      <c s="30" r="C1777">
        <v>1</v>
      </c>
      <c t="s" s="30" r="D1777">
        <v>136</v>
      </c>
      <c t="s" s="30" r="E1777">
        <v>4</v>
      </c>
      <c t="s" s="30" r="F1777">
        <v>4</v>
      </c>
      <c t="s" s="30" r="G1777">
        <v>263</v>
      </c>
      <c t="str" s="12" r="H1777">
        <f>HYPERLINK("http://sofifa.com/en/fifa13winter/player/142803-nelson-de-jesus-silva","Dida")</f>
        <v>Dida</v>
      </c>
      <c s="30" r="I1777">
        <v>75</v>
      </c>
      <c t="s" s="30" r="J1777">
        <v>106</v>
      </c>
      <c t="s" s="30" r="K1777">
        <v>176</v>
      </c>
      <c t="s" s="30" r="L1777">
        <v>179</v>
      </c>
      <c s="30" r="M1777">
        <v>38</v>
      </c>
      <c s="26" r="N1777">
        <v>1.5</v>
      </c>
      <c s="23" r="O1777">
        <v>0.016</v>
      </c>
      <c s="7" r="P1777"/>
      <c s="7" r="Q1777"/>
      <c s="7" r="R1777">
        <f>IF((P1777&gt;0),O1777,0)</f>
        <v>0</v>
      </c>
      <c t="str" r="S1777">
        <f>CONCATENATE(F1777,E1777)</f>
        <v>NON FTLNON FTL</v>
      </c>
    </row>
    <row r="1778">
      <c t="s" s="7" r="A1778">
        <v>201</v>
      </c>
      <c s="7" r="B1778">
        <v>1805</v>
      </c>
      <c s="30" r="C1778">
        <v>20</v>
      </c>
      <c t="s" s="30" r="D1778">
        <v>136</v>
      </c>
      <c t="s" s="30" r="E1778">
        <v>4</v>
      </c>
      <c t="s" s="30" r="F1778">
        <v>4</v>
      </c>
      <c t="s" s="30" r="G1778">
        <v>263</v>
      </c>
      <c t="str" s="12" r="H1778">
        <f>HYPERLINK("http://sofifa.com/en/fifa13winter/player/149159-saimon-pains-tormen","Saimon")</f>
        <v>Saimon</v>
      </c>
      <c s="30" r="I1778">
        <v>69</v>
      </c>
      <c t="s" s="30" r="J1778">
        <v>113</v>
      </c>
      <c t="s" s="30" r="K1778">
        <v>110</v>
      </c>
      <c t="s" s="30" r="L1778">
        <v>160</v>
      </c>
      <c s="30" r="M1778">
        <v>21</v>
      </c>
      <c s="26" r="N1778">
        <v>1.9</v>
      </c>
      <c s="23" r="O1778">
        <v>0.006</v>
      </c>
      <c s="7" r="P1778"/>
      <c s="7" r="Q1778"/>
      <c s="7" r="R1778">
        <f>IF((P1778&gt;0),O1778,0)</f>
        <v>0</v>
      </c>
      <c t="str" r="S1778">
        <f>CONCATENATE(F1778,E1778)</f>
        <v>NON FTLNON FTL</v>
      </c>
    </row>
    <row r="1779">
      <c t="s" s="7" r="A1779">
        <v>201</v>
      </c>
      <c s="7" r="B1779">
        <v>1806</v>
      </c>
      <c s="30" r="C1779">
        <v>30</v>
      </c>
      <c t="s" s="30" r="D1779">
        <v>136</v>
      </c>
      <c t="s" s="30" r="E1779">
        <v>4</v>
      </c>
      <c t="s" s="30" r="F1779">
        <v>4</v>
      </c>
      <c t="s" s="30" r="G1779">
        <v>263</v>
      </c>
      <c t="str" s="12" r="H1779">
        <f>HYPERLINK("http://sofifa.com/en/fifa13winter/player/146399-kleber-de-souza-freitas","Kléber")</f>
        <v>Kléber</v>
      </c>
      <c s="30" r="I1779">
        <v>76</v>
      </c>
      <c t="s" s="30" r="J1779">
        <v>129</v>
      </c>
      <c t="s" s="30" r="K1779">
        <v>130</v>
      </c>
      <c t="s" s="30" r="L1779">
        <v>161</v>
      </c>
      <c s="30" r="M1779">
        <v>29</v>
      </c>
      <c s="26" r="N1779">
        <v>5.3</v>
      </c>
      <c s="23" r="O1779">
        <v>0.016</v>
      </c>
      <c s="7" r="P1779"/>
      <c s="7" r="Q1779"/>
      <c s="7" r="R1779">
        <f>IF((P1779&gt;0),O1779,0)</f>
        <v>0</v>
      </c>
      <c t="str" r="S1779">
        <f>CONCATENATE(F1779,E1779)</f>
        <v>NON FTLNON FTL</v>
      </c>
    </row>
    <row r="1780">
      <c t="s" s="7" r="A1780">
        <v>201</v>
      </c>
      <c s="7" r="B1780">
        <v>1807</v>
      </c>
      <c s="30" r="C1780">
        <v>29</v>
      </c>
      <c t="s" s="30" r="D1780">
        <v>136</v>
      </c>
      <c t="s" s="30" r="E1780">
        <v>4</v>
      </c>
      <c t="s" s="30" r="F1780">
        <v>4</v>
      </c>
      <c t="s" s="30" r="G1780">
        <v>263</v>
      </c>
      <c t="str" s="12" r="H1780">
        <f>HYPERLINK("http://sofifa.com/en/fifa13winter/player/147785-adriano-bispo-dos-santos","Adriano")</f>
        <v>Adriano</v>
      </c>
      <c s="30" r="I1780">
        <v>71</v>
      </c>
      <c t="s" s="30" r="J1780">
        <v>154</v>
      </c>
      <c t="s" s="30" r="K1780">
        <v>195</v>
      </c>
      <c t="s" s="30" r="L1780">
        <v>142</v>
      </c>
      <c s="30" r="M1780">
        <v>25</v>
      </c>
      <c s="26" r="N1780">
        <v>2.3</v>
      </c>
      <c s="23" r="O1780">
        <v>0.008</v>
      </c>
      <c s="7" r="P1780"/>
      <c s="7" r="Q1780"/>
      <c s="7" r="R1780">
        <f>IF((P1780&gt;0),O1780,0)</f>
        <v>0</v>
      </c>
      <c t="str" r="S1780">
        <f>CONCATENATE(F1780,E1780)</f>
        <v>NON FTLNON FTL</v>
      </c>
    </row>
    <row r="1781">
      <c t="s" s="7" r="A1781">
        <v>201</v>
      </c>
      <c s="7" r="B1781">
        <v>1808</v>
      </c>
      <c s="30" r="C1781">
        <v>26</v>
      </c>
      <c t="s" s="30" r="D1781">
        <v>136</v>
      </c>
      <c t="s" s="30" r="E1781">
        <v>4</v>
      </c>
      <c t="s" s="30" r="F1781">
        <v>4</v>
      </c>
      <c t="s" s="30" r="G1781">
        <v>263</v>
      </c>
      <c t="str" s="12" r="H1781">
        <f>HYPERLINK("http://sofifa.com/en/fifa13winter/player/147566-welliton-soares-de-morais","Welliton")</f>
        <v>Welliton</v>
      </c>
      <c s="30" r="I1781">
        <v>77</v>
      </c>
      <c t="s" s="30" r="J1781">
        <v>129</v>
      </c>
      <c t="s" s="30" r="K1781">
        <v>139</v>
      </c>
      <c t="s" s="30" r="L1781">
        <v>137</v>
      </c>
      <c s="30" r="M1781">
        <v>25</v>
      </c>
      <c s="26" r="N1781">
        <v>7.5</v>
      </c>
      <c s="23" r="O1781">
        <v>0.017</v>
      </c>
      <c s="7" r="P1781"/>
      <c s="7" r="Q1781"/>
      <c s="7" r="R1781">
        <f>IF((P1781&gt;0),O1781,0)</f>
        <v>0</v>
      </c>
      <c t="str" r="S1781">
        <f>CONCATENATE(F1781,E1781)</f>
        <v>NON FTLNON FTL</v>
      </c>
    </row>
    <row r="1782">
      <c t="s" s="7" r="A1782">
        <v>201</v>
      </c>
      <c s="7" r="B1782">
        <v>1809</v>
      </c>
      <c s="30" r="C1782">
        <v>14</v>
      </c>
      <c t="s" s="30" r="D1782">
        <v>136</v>
      </c>
      <c t="s" s="30" r="E1782">
        <v>4</v>
      </c>
      <c t="s" s="30" r="F1782">
        <v>4</v>
      </c>
      <c t="s" s="30" r="G1782">
        <v>263</v>
      </c>
      <c t="str" s="12" r="H1782">
        <f>HYPERLINK("http://sofifa.com/en/fifa13winter/player/144981-fabio-aurelio-rodrigues","Fábio Aurélio")</f>
        <v>Fábio Aurélio</v>
      </c>
      <c s="30" r="I1782">
        <v>74</v>
      </c>
      <c t="s" s="30" r="J1782">
        <v>117</v>
      </c>
      <c t="s" s="30" r="K1782">
        <v>130</v>
      </c>
      <c t="s" s="30" r="L1782">
        <v>160</v>
      </c>
      <c s="30" r="M1782">
        <v>32</v>
      </c>
      <c s="26" r="N1782">
        <v>2.5</v>
      </c>
      <c s="23" r="O1782">
        <v>0.013</v>
      </c>
      <c s="7" r="P1782"/>
      <c s="7" r="Q1782"/>
      <c s="7" r="R1782">
        <f>IF((P1782&gt;0),O1782,0)</f>
        <v>0</v>
      </c>
      <c t="str" r="S1782">
        <f>CONCATENATE(F1782,E1782)</f>
        <v>NON FTLNON FTL</v>
      </c>
    </row>
    <row r="1783">
      <c t="s" s="7" r="A1783">
        <v>201</v>
      </c>
      <c s="7" r="B1783">
        <v>1810</v>
      </c>
      <c s="30" r="C1783">
        <v>27</v>
      </c>
      <c t="s" s="30" r="D1783">
        <v>136</v>
      </c>
      <c t="s" s="30" r="E1783">
        <v>4</v>
      </c>
      <c t="s" s="30" r="F1783">
        <v>4</v>
      </c>
      <c t="s" s="30" r="G1783">
        <v>263</v>
      </c>
      <c t="str" s="12" r="H1783">
        <f>HYPERLINK("http://sofifa.com/en/fifa13winter/player/146242-andre-clarindo-dos-santos","André Santos")</f>
        <v>André Santos</v>
      </c>
      <c s="30" r="I1783">
        <v>74</v>
      </c>
      <c t="s" s="30" r="J1783">
        <v>117</v>
      </c>
      <c t="s" s="30" r="K1783">
        <v>114</v>
      </c>
      <c t="s" s="30" r="L1783">
        <v>160</v>
      </c>
      <c s="30" r="M1783">
        <v>29</v>
      </c>
      <c s="26" r="N1783">
        <v>2.8</v>
      </c>
      <c s="23" r="O1783">
        <v>0.012</v>
      </c>
      <c s="7" r="P1783"/>
      <c s="7" r="Q1783"/>
      <c s="7" r="R1783">
        <f>IF((P1783&gt;0),O1783,0)</f>
        <v>0</v>
      </c>
      <c t="str" r="S1783">
        <f>CONCATENATE(F1783,E1783)</f>
        <v>NON FTLNON FTL</v>
      </c>
    </row>
    <row r="1784">
      <c t="s" s="7" r="A1784">
        <v>201</v>
      </c>
      <c s="7" r="B1784">
        <v>1811</v>
      </c>
      <c s="30" r="C1784">
        <v>3</v>
      </c>
      <c t="s" s="30" r="D1784">
        <v>136</v>
      </c>
      <c t="s" s="30" r="E1784">
        <v>4</v>
      </c>
      <c t="s" s="30" r="F1784">
        <v>4</v>
      </c>
      <c t="s" s="30" r="G1784">
        <v>263</v>
      </c>
      <c t="str" s="12" r="H1784">
        <f>HYPERLINK("http://sofifa.com/en/fifa13winter/player/144138-cristiano-marques-gomes","Cris")</f>
        <v>Cris</v>
      </c>
      <c s="30" r="I1784">
        <v>71</v>
      </c>
      <c t="s" s="30" r="J1784">
        <v>113</v>
      </c>
      <c t="s" s="30" r="K1784">
        <v>110</v>
      </c>
      <c t="s" s="30" r="L1784">
        <v>138</v>
      </c>
      <c s="30" r="M1784">
        <v>35</v>
      </c>
      <c s="26" r="N1784">
        <v>1.3</v>
      </c>
      <c s="23" r="O1784">
        <v>0.01</v>
      </c>
      <c s="7" r="P1784"/>
      <c s="7" r="Q1784"/>
      <c s="7" r="R1784">
        <f>IF((P1784&gt;0),O1784,0)</f>
        <v>0</v>
      </c>
      <c t="str" r="S1784">
        <f>CONCATENATE(F1784,E1784)</f>
        <v>NON FTLNON FTL</v>
      </c>
    </row>
    <row r="1785">
      <c t="s" s="7" r="A1785">
        <v>201</v>
      </c>
      <c s="7" r="B1785">
        <v>1812</v>
      </c>
      <c s="30" r="C1785">
        <v>11</v>
      </c>
      <c t="s" s="30" r="D1785">
        <v>136</v>
      </c>
      <c t="s" s="30" r="E1785">
        <v>4</v>
      </c>
      <c t="s" s="30" r="F1785">
        <v>4</v>
      </c>
      <c t="s" s="30" r="G1785">
        <v>263</v>
      </c>
      <c t="str" s="12" r="H1785">
        <f>HYPERLINK("http://sofifa.com/en/fifa13winter/player/146854-marcos-antonio-miranda-filho","Marco Antônio")</f>
        <v>Marco Antônio</v>
      </c>
      <c s="30" r="I1785">
        <v>71</v>
      </c>
      <c t="s" s="30" r="J1785">
        <v>162</v>
      </c>
      <c t="s" s="30" r="K1785">
        <v>110</v>
      </c>
      <c t="s" s="30" r="L1785">
        <v>161</v>
      </c>
      <c s="30" r="M1785">
        <v>27</v>
      </c>
      <c s="26" r="N1785">
        <v>2.5</v>
      </c>
      <c s="23" r="O1785">
        <v>0.008</v>
      </c>
      <c s="7" r="P1785"/>
      <c s="7" r="Q1785"/>
      <c s="7" r="R1785">
        <f>IF((P1785&gt;0),O1785,0)</f>
        <v>0</v>
      </c>
      <c t="str" r="S1785">
        <f>CONCATENATE(F1785,E1785)</f>
        <v>NON FTLNON FTL</v>
      </c>
    </row>
    <row r="1786">
      <c t="s" s="7" r="A1786">
        <v>201</v>
      </c>
      <c s="7" r="B1786">
        <v>1813</v>
      </c>
      <c s="30" r="C1786">
        <v>22</v>
      </c>
      <c t="s" s="30" r="D1786">
        <v>147</v>
      </c>
      <c t="s" s="30" r="E1786">
        <v>4</v>
      </c>
      <c t="s" s="30" r="F1786">
        <v>4</v>
      </c>
      <c t="s" s="30" r="G1786">
        <v>263</v>
      </c>
      <c t="str" s="12" r="H1786">
        <f>HYPERLINK("http://sofifa.com/en/fifa13winter/player/148426-gabriel-rybar-blos","Gabriel")</f>
        <v>Gabriel</v>
      </c>
      <c s="30" r="I1786">
        <v>68</v>
      </c>
      <c t="s" s="30" r="J1786">
        <v>113</v>
      </c>
      <c t="s" s="30" r="K1786">
        <v>144</v>
      </c>
      <c t="s" s="30" r="L1786">
        <v>178</v>
      </c>
      <c s="30" r="M1786">
        <v>23</v>
      </c>
      <c s="26" r="N1786">
        <v>1.6</v>
      </c>
      <c s="23" r="O1786">
        <v>0.006</v>
      </c>
      <c s="7" r="P1786"/>
      <c s="7" r="Q1786"/>
      <c s="7" r="R1786">
        <f>IF((P1786&gt;0),O1786,0)</f>
        <v>0</v>
      </c>
      <c t="str" r="S1786">
        <f>CONCATENATE(F1786,E1786)</f>
        <v>NON FTLNON FTL</v>
      </c>
    </row>
    <row r="1787">
      <c t="s" s="7" r="A1787">
        <v>201</v>
      </c>
      <c s="7" r="B1787">
        <v>1814</v>
      </c>
      <c s="30" r="C1787">
        <v>23</v>
      </c>
      <c t="s" s="30" r="D1787">
        <v>147</v>
      </c>
      <c t="s" s="30" r="E1787">
        <v>4</v>
      </c>
      <c t="s" s="30" r="F1787">
        <v>4</v>
      </c>
      <c t="s" s="30" r="G1787">
        <v>263</v>
      </c>
      <c t="str" s="12" r="H1787">
        <f>HYPERLINK("http://sofifa.com/en/fifa13winter/player/149007-maximiliano-rodriguez","M. Rodriguez")</f>
        <v>M. Rodriguez</v>
      </c>
      <c s="30" r="I1787">
        <v>61</v>
      </c>
      <c t="s" s="30" r="J1787">
        <v>162</v>
      </c>
      <c t="s" s="30" r="K1787">
        <v>114</v>
      </c>
      <c t="s" s="30" r="L1787">
        <v>115</v>
      </c>
      <c s="30" r="M1787">
        <v>21</v>
      </c>
      <c s="26" r="N1787">
        <v>0.7</v>
      </c>
      <c s="23" r="O1787">
        <v>0.003</v>
      </c>
      <c s="7" r="P1787"/>
      <c s="7" r="Q1787"/>
      <c s="7" r="R1787">
        <f>IF((P1787&gt;0),O1787,0)</f>
        <v>0</v>
      </c>
      <c t="str" r="S1787">
        <f>CONCATENATE(F1787,E1787)</f>
        <v>NON FTLNON FTL</v>
      </c>
    </row>
    <row r="1788">
      <c t="s" s="7" r="A1788">
        <v>201</v>
      </c>
      <c s="7" r="B1788">
        <v>1815</v>
      </c>
      <c s="30" r="C1788">
        <v>31</v>
      </c>
      <c t="s" s="30" r="D1788">
        <v>147</v>
      </c>
      <c t="s" s="30" r="E1788">
        <v>4</v>
      </c>
      <c t="s" s="30" r="F1788">
        <v>4</v>
      </c>
      <c t="s" s="30" r="G1788">
        <v>263</v>
      </c>
      <c t="str" s="12" r="H1788">
        <f>HYPERLINK("http://sofifa.com/en/fifa13winter/player/148492-matheus-silva-de-oliveira","Matheus")</f>
        <v>Matheus</v>
      </c>
      <c s="30" r="I1788">
        <v>65</v>
      </c>
      <c t="s" s="30" r="J1788">
        <v>106</v>
      </c>
      <c t="s" s="30" r="K1788">
        <v>132</v>
      </c>
      <c t="s" s="30" r="L1788">
        <v>193</v>
      </c>
      <c s="30" r="M1788">
        <v>23</v>
      </c>
      <c s="26" r="N1788">
        <v>0.8</v>
      </c>
      <c s="23" r="O1788">
        <v>0.005</v>
      </c>
      <c s="7" r="P1788"/>
      <c s="7" r="Q1788"/>
      <c s="7" r="R1788">
        <f>IF((P1788&gt;0),O1788,0)</f>
        <v>0</v>
      </c>
      <c t="str" r="S1788">
        <f>CONCATENATE(F1788,E1788)</f>
        <v>NON FTLNON FTL</v>
      </c>
    </row>
    <row r="1789">
      <c t="s" s="7" r="A1789">
        <v>201</v>
      </c>
      <c s="7" r="B1789">
        <v>1816</v>
      </c>
      <c s="30" r="C1789">
        <v>35</v>
      </c>
      <c t="s" s="30" r="D1789">
        <v>147</v>
      </c>
      <c t="s" s="30" r="E1789">
        <v>4</v>
      </c>
      <c t="s" s="30" r="F1789">
        <v>4</v>
      </c>
      <c t="s" s="30" r="G1789">
        <v>263</v>
      </c>
      <c t="str" s="12" r="H1789">
        <f>HYPERLINK("http://sofifa.com/en/fifa13winter/player/149252-felipe-duarte-guedes","Felipe Guedes")</f>
        <v>Felipe Guedes</v>
      </c>
      <c s="30" r="I1789">
        <v>61</v>
      </c>
      <c t="s" s="30" r="J1789">
        <v>154</v>
      </c>
      <c t="s" s="30" r="K1789">
        <v>139</v>
      </c>
      <c t="s" s="30" r="L1789">
        <v>122</v>
      </c>
      <c s="30" r="M1789">
        <v>21</v>
      </c>
      <c s="26" r="N1789">
        <v>0.6</v>
      </c>
      <c s="23" r="O1789">
        <v>0.003</v>
      </c>
      <c s="7" r="P1789"/>
      <c s="7" r="Q1789"/>
      <c s="7" r="R1789">
        <f>IF((P1789&gt;0),O1789,0)</f>
        <v>0</v>
      </c>
      <c t="str" r="S1789">
        <f>CONCATENATE(F1789,E1789)</f>
        <v>NON FTLNON FTL</v>
      </c>
    </row>
    <row r="1790">
      <c t="s" s="7" r="A1790">
        <v>201</v>
      </c>
      <c s="7" r="B1790">
        <v>1817</v>
      </c>
      <c s="30" r="C1790">
        <v>21</v>
      </c>
      <c t="s" s="30" r="D1790">
        <v>147</v>
      </c>
      <c t="s" s="30" r="E1790">
        <v>4</v>
      </c>
      <c t="s" s="30" r="F1790">
        <v>4</v>
      </c>
      <c t="s" s="30" r="G1790">
        <v>263</v>
      </c>
      <c t="str" s="12" r="H1790">
        <f>HYPERLINK("http://sofifa.com/en/fifa13winter/player/150685-yuri-souza-almeida","Yuri Mamute")</f>
        <v>Yuri Mamute</v>
      </c>
      <c s="30" r="I1790">
        <v>65</v>
      </c>
      <c t="s" s="30" r="J1790">
        <v>129</v>
      </c>
      <c t="s" s="30" r="K1790">
        <v>159</v>
      </c>
      <c t="s" s="30" r="L1790">
        <v>180</v>
      </c>
      <c s="30" r="M1790">
        <v>17</v>
      </c>
      <c s="26" r="N1790">
        <v>1.4</v>
      </c>
      <c s="23" r="O1790">
        <v>0.003</v>
      </c>
      <c s="7" r="P1790"/>
      <c s="7" r="Q1790"/>
      <c s="7" r="R1790">
        <f>IF((P1790&gt;0),O1790,0)</f>
        <v>0</v>
      </c>
      <c t="str" r="S1790">
        <f>CONCATENATE(F1790,E1790)</f>
        <v>NON FTLNON FTL</v>
      </c>
    </row>
    <row r="1791">
      <c t="s" s="7" r="A1791">
        <v>201</v>
      </c>
      <c s="7" r="B1791">
        <v>1818</v>
      </c>
      <c s="30" r="C1791">
        <v>25</v>
      </c>
      <c t="s" s="30" r="D1791">
        <v>147</v>
      </c>
      <c t="s" s="30" r="E1791">
        <v>4</v>
      </c>
      <c t="s" s="30" r="F1791">
        <v>4</v>
      </c>
      <c t="s" s="30" r="G1791">
        <v>263</v>
      </c>
      <c t="str" s="12" r="H1791">
        <f>HYPERLINK("http://sofifa.com/en/fifa13winter/player/149949-jean-alexandre-deretti","Jean Deretti")</f>
        <v>Jean Deretti</v>
      </c>
      <c s="30" r="I1791">
        <v>65</v>
      </c>
      <c t="s" s="30" r="J1791">
        <v>162</v>
      </c>
      <c t="s" s="30" r="K1791">
        <v>130</v>
      </c>
      <c t="s" s="30" r="L1791">
        <v>127</v>
      </c>
      <c s="30" r="M1791">
        <v>19</v>
      </c>
      <c s="26" r="N1791">
        <v>1.3</v>
      </c>
      <c s="23" r="O1791">
        <v>0.004</v>
      </c>
      <c s="7" r="P1791"/>
      <c s="7" r="Q1791"/>
      <c s="7" r="R1791">
        <f>IF((P1791&gt;0),O1791,0)</f>
        <v>0</v>
      </c>
      <c t="str" r="S1791">
        <f>CONCATENATE(F1791,E1791)</f>
        <v>NON FTLNON FTL</v>
      </c>
    </row>
    <row r="1792">
      <c t="s" s="7" r="A1792">
        <v>201</v>
      </c>
      <c s="7" r="B1792">
        <v>1819</v>
      </c>
      <c s="30" r="C1792">
        <v>34</v>
      </c>
      <c t="s" s="30" r="D1792">
        <v>147</v>
      </c>
      <c t="s" s="30" r="E1792">
        <v>4</v>
      </c>
      <c t="s" s="30" r="F1792">
        <v>4</v>
      </c>
      <c t="s" s="30" r="G1792">
        <v>263</v>
      </c>
      <c t="str" s="12" r="H1792">
        <f>HYPERLINK("http://sofifa.com/en/fifa13winter/player/148945-moises-francisco-dallazen","Moisés")</f>
        <v>Moisés</v>
      </c>
      <c s="30" r="I1792">
        <v>64</v>
      </c>
      <c t="s" s="30" r="J1792">
        <v>154</v>
      </c>
      <c t="s" s="30" r="K1792">
        <v>150</v>
      </c>
      <c t="s" s="30" r="L1792">
        <v>137</v>
      </c>
      <c s="30" r="M1792">
        <v>22</v>
      </c>
      <c s="26" r="N1792">
        <v>0.9</v>
      </c>
      <c s="23" r="O1792">
        <v>0.004</v>
      </c>
      <c s="7" r="P1792"/>
      <c s="7" r="Q1792"/>
      <c s="7" r="R1792">
        <f>IF((P1792&gt;0),O1792,0)</f>
        <v>0</v>
      </c>
      <c t="str" r="S1792">
        <f>CONCATENATE(F1792,E1792)</f>
        <v>NON FTLNON FTL</v>
      </c>
    </row>
    <row r="1793">
      <c t="s" s="7" r="A1793">
        <v>201</v>
      </c>
      <c s="7" r="B1793">
        <v>1820</v>
      </c>
      <c s="30" r="C1793">
        <v>13</v>
      </c>
      <c t="s" s="30" r="D1793">
        <v>106</v>
      </c>
      <c t="s" s="30" r="E1793">
        <v>4</v>
      </c>
      <c t="s" s="30" r="F1793">
        <v>4</v>
      </c>
      <c t="s" s="30" r="G1793">
        <v>264</v>
      </c>
      <c t="str" s="12" r="H1793">
        <f>HYPERLINK("http://sofifa.com/en/fifa13winter/player/145927-jordi-codina-rodriguez","Codina")</f>
        <v>Codina</v>
      </c>
      <c s="30" r="I1793">
        <v>71</v>
      </c>
      <c t="s" s="30" r="J1793">
        <v>106</v>
      </c>
      <c t="s" s="30" r="K1793">
        <v>167</v>
      </c>
      <c t="s" s="30" r="L1793">
        <v>158</v>
      </c>
      <c s="30" r="M1793">
        <v>30</v>
      </c>
      <c s="26" r="N1793">
        <v>1.6</v>
      </c>
      <c s="23" r="O1793">
        <v>0.009</v>
      </c>
      <c s="7" r="P1793"/>
      <c s="7" r="Q1793"/>
      <c s="7" r="R1793">
        <f>IF((P1793&gt;0),O1793,0)</f>
        <v>0</v>
      </c>
      <c t="str" r="S1793">
        <f>CONCATENATE(F1793,E1793)</f>
        <v>NON FTLNON FTL</v>
      </c>
    </row>
    <row r="1794">
      <c t="s" s="7" r="A1794">
        <v>201</v>
      </c>
      <c s="7" r="B1794">
        <v>1821</v>
      </c>
      <c s="30" r="C1794">
        <v>20</v>
      </c>
      <c t="s" s="30" r="D1794">
        <v>109</v>
      </c>
      <c t="s" s="30" r="E1794">
        <v>4</v>
      </c>
      <c t="s" s="30" r="F1794">
        <v>4</v>
      </c>
      <c t="s" s="30" r="G1794">
        <v>264</v>
      </c>
      <c t="str" s="12" r="H1794">
        <f>HYPERLINK("http://sofifa.com/en/fifa13winter/player/146896-juan-valera-espin","Valera")</f>
        <v>Valera</v>
      </c>
      <c s="30" r="I1794">
        <v>75</v>
      </c>
      <c t="s" s="30" r="J1794">
        <v>109</v>
      </c>
      <c t="s" s="30" r="K1794">
        <v>167</v>
      </c>
      <c t="s" s="30" r="L1794">
        <v>122</v>
      </c>
      <c s="30" r="M1794">
        <v>27</v>
      </c>
      <c s="26" r="N1794">
        <v>3.8</v>
      </c>
      <c s="23" r="O1794">
        <v>0.013</v>
      </c>
      <c s="7" r="P1794"/>
      <c s="7" r="Q1794"/>
      <c s="7" r="R1794">
        <f>IF((P1794&gt;0),O1794,0)</f>
        <v>0</v>
      </c>
      <c t="str" r="S1794">
        <f>CONCATENATE(F1794,E1794)</f>
        <v>NON FTLNON FTL</v>
      </c>
    </row>
    <row r="1795">
      <c t="s" s="7" r="A1795">
        <v>201</v>
      </c>
      <c s="7" r="B1795">
        <v>1822</v>
      </c>
      <c s="30" r="C1795">
        <v>6</v>
      </c>
      <c t="s" s="30" r="D1795">
        <v>112</v>
      </c>
      <c t="s" s="30" r="E1795">
        <v>4</v>
      </c>
      <c t="s" s="30" r="F1795">
        <v>4</v>
      </c>
      <c t="s" s="30" r="G1795">
        <v>264</v>
      </c>
      <c t="str" s="12" r="H1795">
        <f>HYPERLINK("http://sofifa.com/en/fifa13winter/player/145205-albert-lopo-garcia","Lopo")</f>
        <v>Lopo</v>
      </c>
      <c s="30" r="I1795">
        <v>75</v>
      </c>
      <c t="s" s="30" r="J1795">
        <v>113</v>
      </c>
      <c t="s" s="30" r="K1795">
        <v>173</v>
      </c>
      <c t="s" s="30" r="L1795">
        <v>183</v>
      </c>
      <c s="30" r="M1795">
        <v>32</v>
      </c>
      <c s="26" r="N1795">
        <v>3.1</v>
      </c>
      <c s="23" r="O1795">
        <v>0.015</v>
      </c>
      <c s="7" r="P1795"/>
      <c s="7" r="Q1795"/>
      <c s="7" r="R1795">
        <f>IF((P1795&gt;0),O1795,0)</f>
        <v>0</v>
      </c>
      <c t="str" r="S1795">
        <f>CONCATENATE(F1795,E1795)</f>
        <v>NON FTLNON FTL</v>
      </c>
    </row>
    <row r="1796">
      <c t="s" s="7" r="A1796">
        <v>201</v>
      </c>
      <c s="7" r="B1796">
        <v>1823</v>
      </c>
      <c s="30" r="C1796">
        <v>2</v>
      </c>
      <c t="s" s="30" r="D1796">
        <v>116</v>
      </c>
      <c t="s" s="30" r="E1796">
        <v>4</v>
      </c>
      <c t="s" s="30" r="F1796">
        <v>4</v>
      </c>
      <c t="s" s="30" r="G1796">
        <v>264</v>
      </c>
      <c t="str" s="12" r="H1796">
        <f>HYPERLINK("http://sofifa.com/en/fifa13winter/player/147122-alexis-ruano-delgado","Alexis")</f>
        <v>Alexis</v>
      </c>
      <c s="30" r="I1796">
        <v>76</v>
      </c>
      <c t="s" s="30" r="J1796">
        <v>113</v>
      </c>
      <c t="s" s="30" r="K1796">
        <v>110</v>
      </c>
      <c t="s" s="30" r="L1796">
        <v>153</v>
      </c>
      <c s="30" r="M1796">
        <v>27</v>
      </c>
      <c s="26" r="N1796">
        <v>4.7</v>
      </c>
      <c s="23" r="O1796">
        <v>0.015</v>
      </c>
      <c s="7" r="P1796"/>
      <c s="7" r="Q1796"/>
      <c s="7" r="R1796">
        <f>IF((P1796&gt;0),O1796,0)</f>
        <v>0</v>
      </c>
      <c t="str" r="S1796">
        <f>CONCATENATE(F1796,E1796)</f>
        <v>NON FTLNON FTL</v>
      </c>
    </row>
    <row r="1797">
      <c t="s" s="7" r="A1797">
        <v>201</v>
      </c>
      <c s="7" r="B1797">
        <v>1824</v>
      </c>
      <c s="30" r="C1797">
        <v>16</v>
      </c>
      <c t="s" s="30" r="D1797">
        <v>117</v>
      </c>
      <c t="s" s="30" r="E1797">
        <v>4</v>
      </c>
      <c t="s" s="30" r="F1797">
        <v>4</v>
      </c>
      <c t="s" s="30" r="G1797">
        <v>264</v>
      </c>
      <c t="str" s="12" r="H1797">
        <f>HYPERLINK("http://sofifa.com/en/fifa13winter/player/148612-sergio-escudero-palomo","Escudero")</f>
        <v>Escudero</v>
      </c>
      <c s="30" r="I1797">
        <v>71</v>
      </c>
      <c t="s" s="30" r="J1797">
        <v>117</v>
      </c>
      <c t="s" s="30" r="K1797">
        <v>172</v>
      </c>
      <c t="s" s="30" r="L1797">
        <v>163</v>
      </c>
      <c s="30" r="M1797">
        <v>22</v>
      </c>
      <c s="26" r="N1797">
        <v>2.2</v>
      </c>
      <c s="23" r="O1797">
        <v>0.007</v>
      </c>
      <c s="7" r="P1797"/>
      <c s="7" r="Q1797"/>
      <c s="7" r="R1797">
        <f>IF((P1797&gt;0),O1797,0)</f>
        <v>0</v>
      </c>
      <c t="str" r="S1797">
        <f>CONCATENATE(F1797,E1797)</f>
        <v>NON FTLNON FTL</v>
      </c>
    </row>
    <row r="1798">
      <c t="s" s="7" r="A1798">
        <v>201</v>
      </c>
      <c s="7" r="B1798">
        <v>1825</v>
      </c>
      <c s="30" r="C1798">
        <v>14</v>
      </c>
      <c t="s" s="30" r="D1798">
        <v>120</v>
      </c>
      <c t="s" s="30" r="E1798">
        <v>4</v>
      </c>
      <c t="s" s="30" r="F1798">
        <v>4</v>
      </c>
      <c t="s" s="30" r="G1798">
        <v>264</v>
      </c>
      <c t="str" s="12" r="H1798">
        <f>HYPERLINK("http://sofifa.com/en/fifa13winter/player/147599-pedro-leon-sanchez-gil","Pedro León")</f>
        <v>Pedro León</v>
      </c>
      <c s="30" r="I1798">
        <v>79</v>
      </c>
      <c t="s" s="30" r="J1798">
        <v>120</v>
      </c>
      <c t="s" s="30" r="K1798">
        <v>110</v>
      </c>
      <c t="s" s="30" r="L1798">
        <v>146</v>
      </c>
      <c s="30" r="M1798">
        <v>25</v>
      </c>
      <c s="26" r="N1798">
        <v>8</v>
      </c>
      <c s="23" r="O1798">
        <v>0.022</v>
      </c>
      <c s="7" r="P1798"/>
      <c s="7" r="Q1798"/>
      <c s="7" r="R1798">
        <f>IF((P1798&gt;0),O1798,0)</f>
        <v>0</v>
      </c>
      <c t="str" r="S1798">
        <f>CONCATENATE(F1798,E1798)</f>
        <v>NON FTLNON FTL</v>
      </c>
    </row>
    <row r="1799">
      <c t="s" s="7" r="A1799">
        <v>201</v>
      </c>
      <c s="7" r="B1799">
        <v>1826</v>
      </c>
      <c s="30" r="C1799">
        <v>21</v>
      </c>
      <c t="s" s="30" r="D1799">
        <v>123</v>
      </c>
      <c t="s" s="30" r="E1799">
        <v>4</v>
      </c>
      <c t="s" s="30" r="F1799">
        <v>4</v>
      </c>
      <c t="s" s="30" r="G1799">
        <v>264</v>
      </c>
      <c t="str" s="12" r="H1799">
        <f>HYPERLINK("http://sofifa.com/en/fifa13winter/player/147218-miguel-marcos-madera","Michel")</f>
        <v>Michel</v>
      </c>
      <c s="30" r="I1799">
        <v>73</v>
      </c>
      <c t="s" s="30" r="J1799">
        <v>124</v>
      </c>
      <c t="s" s="30" r="K1799">
        <v>110</v>
      </c>
      <c t="s" s="30" r="L1799">
        <v>146</v>
      </c>
      <c s="30" r="M1799">
        <v>26</v>
      </c>
      <c s="26" r="N1799">
        <v>2.9</v>
      </c>
      <c s="23" r="O1799">
        <v>0.01</v>
      </c>
      <c s="7" r="P1799"/>
      <c s="7" r="Q1799"/>
      <c s="7" r="R1799">
        <f>IF((P1799&gt;0),O1799,0)</f>
        <v>0</v>
      </c>
      <c t="str" r="S1799">
        <f>CONCATENATE(F1799,E1799)</f>
        <v>NON FTLNON FTL</v>
      </c>
    </row>
    <row r="1800">
      <c t="s" s="7" r="A1800">
        <v>201</v>
      </c>
      <c s="7" r="B1800">
        <v>1827</v>
      </c>
      <c s="30" r="C1800">
        <v>25</v>
      </c>
      <c t="s" s="30" r="D1800">
        <v>126</v>
      </c>
      <c t="s" s="30" r="E1800">
        <v>4</v>
      </c>
      <c t="s" s="30" r="F1800">
        <v>4</v>
      </c>
      <c t="s" s="30" r="G1800">
        <v>264</v>
      </c>
      <c t="str" s="12" r="H1800">
        <f>HYPERLINK("http://sofifa.com/en/fifa13winter/player/147596-xavier-torres-buigues","Xavi Torres")</f>
        <v>Xavi Torres</v>
      </c>
      <c s="30" r="I1800">
        <v>76</v>
      </c>
      <c t="s" s="30" r="J1800">
        <v>154</v>
      </c>
      <c t="s" s="30" r="K1800">
        <v>167</v>
      </c>
      <c t="s" s="30" r="L1800">
        <v>193</v>
      </c>
      <c s="30" r="M1800">
        <v>25</v>
      </c>
      <c s="26" r="N1800">
        <v>4.6</v>
      </c>
      <c s="23" r="O1800">
        <v>0.015</v>
      </c>
      <c s="7" r="P1800"/>
      <c s="7" r="Q1800"/>
      <c s="7" r="R1800">
        <f>IF((P1800&gt;0),O1800,0)</f>
        <v>0</v>
      </c>
      <c t="str" r="S1800">
        <f>CONCATENATE(F1800,E1800)</f>
        <v>NON FTLNON FTL</v>
      </c>
    </row>
    <row r="1801">
      <c t="s" s="7" r="A1801">
        <v>201</v>
      </c>
      <c s="7" r="B1801">
        <v>1828</v>
      </c>
      <c s="30" r="C1801">
        <v>17</v>
      </c>
      <c t="s" s="30" r="D1801">
        <v>128</v>
      </c>
      <c t="s" s="30" r="E1801">
        <v>4</v>
      </c>
      <c t="s" s="30" r="F1801">
        <v>4</v>
      </c>
      <c t="s" s="30" r="G1801">
        <v>264</v>
      </c>
      <c t="str" s="12" r="H1801">
        <f>HYPERLINK("http://sofifa.com/en/fifa13winter/player/145993-diego-castro-gimenez","Diego Castro")</f>
        <v>Diego Castro</v>
      </c>
      <c s="30" r="I1801">
        <v>77</v>
      </c>
      <c t="s" s="30" r="J1801">
        <v>128</v>
      </c>
      <c t="s" s="30" r="K1801">
        <v>182</v>
      </c>
      <c t="s" s="30" r="L1801">
        <v>142</v>
      </c>
      <c s="30" r="M1801">
        <v>30</v>
      </c>
      <c s="26" r="N1801">
        <v>5</v>
      </c>
      <c s="23" r="O1801">
        <v>0.019</v>
      </c>
      <c s="7" r="P1801"/>
      <c s="7" r="Q1801"/>
      <c s="7" r="R1801">
        <f>IF((P1801&gt;0),O1801,0)</f>
        <v>0</v>
      </c>
      <c t="str" r="S1801">
        <f>CONCATENATE(F1801,E1801)</f>
        <v>NON FTLNON FTL</v>
      </c>
    </row>
    <row r="1802">
      <c t="s" s="7" r="A1802">
        <v>201</v>
      </c>
      <c s="7" r="B1802">
        <v>1829</v>
      </c>
      <c s="30" r="C1802">
        <v>19</v>
      </c>
      <c t="s" s="30" r="D1802">
        <v>162</v>
      </c>
      <c t="s" s="30" r="E1802">
        <v>4</v>
      </c>
      <c t="s" s="30" r="F1802">
        <v>4</v>
      </c>
      <c t="s" s="30" r="G1802">
        <v>264</v>
      </c>
      <c t="str" s="12" r="H1802">
        <f>HYPERLINK("http://sofifa.com/en/fifa13winter/player/148537-abdelaziz-barrada","A. Barrada")</f>
        <v>A. Barrada</v>
      </c>
      <c s="30" r="I1802">
        <v>76</v>
      </c>
      <c t="s" s="30" r="J1802">
        <v>162</v>
      </c>
      <c t="s" s="30" r="K1802">
        <v>145</v>
      </c>
      <c t="s" s="30" r="L1802">
        <v>119</v>
      </c>
      <c s="30" r="M1802">
        <v>23</v>
      </c>
      <c s="26" r="N1802">
        <v>5.9</v>
      </c>
      <c s="23" r="O1802">
        <v>0.014</v>
      </c>
      <c s="7" r="P1802"/>
      <c s="7" r="Q1802"/>
      <c s="7" r="R1802">
        <f>IF((P1802&gt;0),O1802,0)</f>
        <v>0</v>
      </c>
      <c t="str" r="S1802">
        <f>CONCATENATE(F1802,E1802)</f>
        <v>NON FTLNON FTL</v>
      </c>
    </row>
    <row r="1803">
      <c t="s" s="7" r="A1803">
        <v>201</v>
      </c>
      <c s="7" r="B1803">
        <v>1830</v>
      </c>
      <c s="30" r="C1803">
        <v>11</v>
      </c>
      <c t="s" s="30" r="D1803">
        <v>129</v>
      </c>
      <c t="s" s="30" r="E1803">
        <v>4</v>
      </c>
      <c t="s" s="30" r="F1803">
        <v>4</v>
      </c>
      <c t="s" s="30" r="G1803">
        <v>264</v>
      </c>
      <c t="str" s="12" r="H1803">
        <f>HYPERLINK("http://sofifa.com/en/fifa13winter/player/146862-adrian-colunga-perez","Adrián Colunga")</f>
        <v>Adrián Colunga</v>
      </c>
      <c s="30" r="I1803">
        <v>74</v>
      </c>
      <c t="s" s="30" r="J1803">
        <v>129</v>
      </c>
      <c t="s" s="30" r="K1803">
        <v>187</v>
      </c>
      <c t="s" s="30" r="L1803">
        <v>122</v>
      </c>
      <c s="30" r="M1803">
        <v>27</v>
      </c>
      <c s="26" r="N1803">
        <v>3.9</v>
      </c>
      <c s="23" r="O1803">
        <v>0.011</v>
      </c>
      <c s="7" r="P1803"/>
      <c s="7" r="Q1803"/>
      <c s="7" r="R1803">
        <f>IF((P1803&gt;0),O1803,0)</f>
        <v>0</v>
      </c>
      <c t="str" r="S1803">
        <f>CONCATENATE(F1803,E1803)</f>
        <v>NON FTLNON FTL</v>
      </c>
    </row>
    <row r="1804">
      <c t="s" s="7" r="A1804">
        <v>201</v>
      </c>
      <c s="7" r="B1804">
        <v>1831</v>
      </c>
      <c s="30" r="C1804">
        <v>12</v>
      </c>
      <c t="s" s="30" r="D1804">
        <v>136</v>
      </c>
      <c t="s" s="30" r="E1804">
        <v>4</v>
      </c>
      <c t="s" s="30" r="F1804">
        <v>4</v>
      </c>
      <c t="s" s="30" r="G1804">
        <v>264</v>
      </c>
      <c t="str" s="12" r="H1804">
        <f>HYPERLINK("http://sofifa.com/en/fifa13winter/player/148420-federico-fernandez","F. Fernández")</f>
        <v>F. Fernández</v>
      </c>
      <c s="30" r="I1804">
        <v>75</v>
      </c>
      <c t="s" s="30" r="J1804">
        <v>113</v>
      </c>
      <c t="s" s="30" r="K1804">
        <v>169</v>
      </c>
      <c t="s" s="30" r="L1804">
        <v>183</v>
      </c>
      <c s="30" r="M1804">
        <v>23</v>
      </c>
      <c s="26" r="N1804">
        <v>4.3</v>
      </c>
      <c s="23" r="O1804">
        <v>0.012</v>
      </c>
      <c s="7" r="P1804"/>
      <c s="7" r="Q1804"/>
      <c s="7" r="R1804">
        <f>IF((P1804&gt;0),O1804,0)</f>
        <v>0</v>
      </c>
      <c t="str" r="S1804">
        <f>CONCATENATE(F1804,E1804)</f>
        <v>NON FTLNON FTL</v>
      </c>
    </row>
    <row r="1805">
      <c t="s" s="7" r="A1805">
        <v>201</v>
      </c>
      <c s="7" r="B1805">
        <v>1832</v>
      </c>
      <c s="30" r="C1805">
        <v>24</v>
      </c>
      <c t="s" s="30" r="D1805">
        <v>136</v>
      </c>
      <c t="s" s="30" r="E1805">
        <v>4</v>
      </c>
      <c t="s" s="30" r="F1805">
        <v>4</v>
      </c>
      <c t="s" s="30" r="G1805">
        <v>264</v>
      </c>
      <c t="str" s="12" r="H1805">
        <f>HYPERLINK("http://sofifa.com/en/fifa13winter/player/147696-hugo-fraile-martin","Hugo Fraile")</f>
        <v>Hugo Fraile</v>
      </c>
      <c s="30" r="I1805">
        <v>64</v>
      </c>
      <c t="s" s="30" r="J1805">
        <v>129</v>
      </c>
      <c t="s" s="30" r="K1805">
        <v>121</v>
      </c>
      <c t="s" s="30" r="L1805">
        <v>119</v>
      </c>
      <c s="30" r="M1805">
        <v>25</v>
      </c>
      <c s="26" r="N1805">
        <v>1</v>
      </c>
      <c s="23" r="O1805">
        <v>0.004</v>
      </c>
      <c s="7" r="P1805"/>
      <c s="7" r="Q1805"/>
      <c s="7" r="R1805">
        <f>IF((P1805&gt;0),O1805,0)</f>
        <v>0</v>
      </c>
      <c t="str" r="S1805">
        <f>CONCATENATE(F1805,E1805)</f>
        <v>NON FTLNON FTL</v>
      </c>
    </row>
    <row r="1806">
      <c t="s" s="7" r="A1806">
        <v>201</v>
      </c>
      <c s="7" r="B1806">
        <v>1833</v>
      </c>
      <c s="30" r="C1806">
        <v>7</v>
      </c>
      <c t="s" s="30" r="D1806">
        <v>136</v>
      </c>
      <c t="s" s="30" r="E1806">
        <v>4</v>
      </c>
      <c t="s" s="30" r="F1806">
        <v>4</v>
      </c>
      <c t="s" s="30" r="G1806">
        <v>264</v>
      </c>
      <c t="str" s="12" r="H1806">
        <f>HYPERLINK("http://sofifa.com/en/fifa13winter/player/149214-alvaro-vazquez-garcia","Álvaro")</f>
        <v>Álvaro</v>
      </c>
      <c s="30" r="I1806">
        <v>73</v>
      </c>
      <c t="s" s="30" r="J1806">
        <v>129</v>
      </c>
      <c t="s" s="30" r="K1806">
        <v>143</v>
      </c>
      <c t="s" s="30" r="L1806">
        <v>137</v>
      </c>
      <c s="30" r="M1806">
        <v>21</v>
      </c>
      <c s="26" r="N1806">
        <v>3.9</v>
      </c>
      <c s="23" r="O1806">
        <v>0.009</v>
      </c>
      <c s="7" r="P1806"/>
      <c s="7" r="Q1806"/>
      <c s="7" r="R1806">
        <f>IF((P1806&gt;0),O1806,0)</f>
        <v>0</v>
      </c>
      <c t="str" r="S1806">
        <f>CONCATENATE(F1806,E1806)</f>
        <v>NON FTLNON FTL</v>
      </c>
    </row>
    <row r="1807">
      <c t="s" s="7" r="A1807">
        <v>201</v>
      </c>
      <c s="7" r="B1807">
        <v>1834</v>
      </c>
      <c s="30" r="C1807">
        <v>8</v>
      </c>
      <c t="s" s="30" r="D1807">
        <v>136</v>
      </c>
      <c t="s" s="30" r="E1807">
        <v>4</v>
      </c>
      <c t="s" s="30" r="F1807">
        <v>4</v>
      </c>
      <c t="s" s="30" r="G1807">
        <v>264</v>
      </c>
      <c t="str" s="12" r="H1807">
        <f>HYPERLINK("http://sofifa.com/en/fifa13winter/player/149594-pablo-sarabia-garcia","Pablo Sarabia")</f>
        <v>Pablo Sarabia</v>
      </c>
      <c s="30" r="I1807">
        <v>70</v>
      </c>
      <c t="s" s="30" r="J1807">
        <v>120</v>
      </c>
      <c t="s" s="30" r="K1807">
        <v>159</v>
      </c>
      <c t="s" s="30" r="L1807">
        <v>146</v>
      </c>
      <c s="30" r="M1807">
        <v>20</v>
      </c>
      <c s="26" r="N1807">
        <v>2.1</v>
      </c>
      <c s="23" r="O1807">
        <v>0.006</v>
      </c>
      <c s="7" r="P1807"/>
      <c s="7" r="Q1807"/>
      <c s="7" r="R1807">
        <f>IF((P1807&gt;0),O1807,0)</f>
        <v>0</v>
      </c>
      <c t="str" r="S1807">
        <f>CONCATENATE(F1807,E1807)</f>
        <v>NON FTLNON FTL</v>
      </c>
    </row>
    <row r="1808">
      <c t="s" s="7" r="A1808">
        <v>201</v>
      </c>
      <c s="7" r="B1808">
        <v>1835</v>
      </c>
      <c s="30" r="C1808">
        <v>9</v>
      </c>
      <c t="s" s="30" r="D1808">
        <v>136</v>
      </c>
      <c t="s" s="30" r="E1808">
        <v>4</v>
      </c>
      <c t="s" s="30" r="F1808">
        <v>4</v>
      </c>
      <c t="s" s="30" r="G1808">
        <v>264</v>
      </c>
      <c t="str" s="12" r="H1808">
        <f>HYPERLINK("http://sofifa.com/en/fifa13winter/player/150070-francisco-alcacer-garcia","Paco Alcácer")</f>
        <v>Paco Alcácer</v>
      </c>
      <c s="30" r="I1808">
        <v>71</v>
      </c>
      <c t="s" s="30" r="J1808">
        <v>129</v>
      </c>
      <c t="s" s="30" r="K1808">
        <v>182</v>
      </c>
      <c t="s" s="30" r="L1808">
        <v>142</v>
      </c>
      <c s="30" r="M1808">
        <v>19</v>
      </c>
      <c s="26" r="N1808">
        <v>3</v>
      </c>
      <c s="23" r="O1808">
        <v>0.006</v>
      </c>
      <c s="7" r="P1808"/>
      <c s="7" r="Q1808"/>
      <c s="7" r="R1808">
        <f>IF((P1808&gt;0),O1808,0)</f>
        <v>0</v>
      </c>
      <c t="str" r="S1808">
        <f>CONCATENATE(F1808,E1808)</f>
        <v>NON FTLNON FTL</v>
      </c>
    </row>
    <row r="1809">
      <c t="s" s="7" r="A1809">
        <v>201</v>
      </c>
      <c s="7" r="B1809">
        <v>1836</v>
      </c>
      <c s="30" r="C1809">
        <v>4</v>
      </c>
      <c t="s" s="30" r="D1809">
        <v>136</v>
      </c>
      <c t="s" s="30" r="E1809">
        <v>4</v>
      </c>
      <c t="s" s="30" r="F1809">
        <v>4</v>
      </c>
      <c t="s" s="30" r="G1809">
        <v>264</v>
      </c>
      <c t="str" s="12" r="H1809">
        <f>HYPERLINK("http://sofifa.com/en/fifa13winter/player/147299-miguel-torres-gomez","Miguel Torres")</f>
        <v>Miguel Torres</v>
      </c>
      <c s="30" r="I1809">
        <v>74</v>
      </c>
      <c t="s" s="30" r="J1809">
        <v>109</v>
      </c>
      <c t="s" s="30" r="K1809">
        <v>167</v>
      </c>
      <c t="s" s="30" r="L1809">
        <v>161</v>
      </c>
      <c s="30" r="M1809">
        <v>26</v>
      </c>
      <c s="26" r="N1809">
        <v>3.1</v>
      </c>
      <c s="23" r="O1809">
        <v>0.011</v>
      </c>
      <c s="7" r="P1809"/>
      <c s="7" r="Q1809"/>
      <c s="7" r="R1809">
        <f>IF((P1809&gt;0),O1809,0)</f>
        <v>0</v>
      </c>
      <c t="str" r="S1809">
        <f>CONCATENATE(F1809,E1809)</f>
        <v>NON FTLNON FTL</v>
      </c>
    </row>
    <row r="1810">
      <c t="s" s="7" r="A1810">
        <v>201</v>
      </c>
      <c s="7" r="B1810">
        <v>1837</v>
      </c>
      <c s="30" r="C1810">
        <v>15</v>
      </c>
      <c t="s" s="30" r="D1810">
        <v>136</v>
      </c>
      <c t="s" s="30" r="E1810">
        <v>4</v>
      </c>
      <c t="s" s="30" r="F1810">
        <v>4</v>
      </c>
      <c t="s" s="30" r="G1810">
        <v>264</v>
      </c>
      <c t="str" s="12" r="H1810">
        <f>HYPERLINK("http://sofifa.com/en/fifa13winter/player/147005-rafael-lopez-gomez","Rafa")</f>
        <v>Rafa</v>
      </c>
      <c s="30" r="I1810">
        <v>72</v>
      </c>
      <c t="s" s="30" r="J1810">
        <v>113</v>
      </c>
      <c t="s" s="30" r="K1810">
        <v>110</v>
      </c>
      <c t="s" s="30" r="L1810">
        <v>146</v>
      </c>
      <c s="30" r="M1810">
        <v>27</v>
      </c>
      <c s="26" r="N1810">
        <v>2.5</v>
      </c>
      <c s="23" r="O1810">
        <v>0.009</v>
      </c>
      <c s="7" r="P1810"/>
      <c s="7" r="Q1810"/>
      <c s="7" r="R1810">
        <f>IF((P1810&gt;0),O1810,0)</f>
        <v>0</v>
      </c>
      <c t="str" r="S1810">
        <f>CONCATENATE(F1810,E1810)</f>
        <v>NON FTLNON FTL</v>
      </c>
    </row>
    <row r="1811">
      <c t="s" s="7" r="A1811">
        <v>201</v>
      </c>
      <c s="7" r="B1811">
        <v>1838</v>
      </c>
      <c s="30" r="C1811">
        <v>1</v>
      </c>
      <c t="s" s="30" r="D1811">
        <v>136</v>
      </c>
      <c t="s" s="30" r="E1811">
        <v>4</v>
      </c>
      <c t="s" s="30" r="F1811">
        <v>4</v>
      </c>
      <c t="s" s="30" r="G1811">
        <v>264</v>
      </c>
      <c t="str" s="12" r="H1811">
        <f>HYPERLINK("http://sofifa.com/en/fifa13winter/player/146633-miguel-angel-moya-rumbo","Moyá")</f>
        <v>Moyá</v>
      </c>
      <c s="30" r="I1811">
        <v>76</v>
      </c>
      <c t="s" s="30" r="J1811">
        <v>106</v>
      </c>
      <c t="s" s="30" r="K1811">
        <v>132</v>
      </c>
      <c t="s" s="30" r="L1811">
        <v>151</v>
      </c>
      <c s="30" r="M1811">
        <v>28</v>
      </c>
      <c s="26" r="N1811">
        <v>3.9</v>
      </c>
      <c s="23" r="O1811">
        <v>0.015</v>
      </c>
      <c s="7" r="P1811"/>
      <c s="7" r="Q1811"/>
      <c s="7" r="R1811">
        <f>IF((P1811&gt;0),O1811,0)</f>
        <v>0</v>
      </c>
      <c t="str" r="S1811">
        <f>CONCATENATE(F1811,E1811)</f>
        <v>NON FTLNON FTL</v>
      </c>
    </row>
    <row r="1812">
      <c t="s" s="7" r="A1812">
        <v>201</v>
      </c>
      <c s="7" r="B1812">
        <v>1839</v>
      </c>
      <c s="30" r="C1812">
        <v>23</v>
      </c>
      <c t="s" s="30" r="D1812">
        <v>136</v>
      </c>
      <c t="s" s="30" r="E1812">
        <v>4</v>
      </c>
      <c t="s" s="30" r="F1812">
        <v>4</v>
      </c>
      <c t="s" s="30" r="G1812">
        <v>264</v>
      </c>
      <c t="str" s="12" r="H1812">
        <f>HYPERLINK("http://sofifa.com/en/fifa13winter/player/145459-borja-fernandez-fernandez","Borja")</f>
        <v>Borja</v>
      </c>
      <c s="30" r="I1812">
        <v>72</v>
      </c>
      <c t="s" s="30" r="J1812">
        <v>154</v>
      </c>
      <c t="s" s="30" r="K1812">
        <v>134</v>
      </c>
      <c t="s" s="30" r="L1812">
        <v>108</v>
      </c>
      <c s="30" r="M1812">
        <v>31</v>
      </c>
      <c s="26" r="N1812">
        <v>2.1</v>
      </c>
      <c s="23" r="O1812">
        <v>0.01</v>
      </c>
      <c s="7" r="P1812"/>
      <c s="7" r="Q1812"/>
      <c s="7" r="R1812">
        <f>IF((P1812&gt;0),O1812,0)</f>
        <v>0</v>
      </c>
      <c t="str" r="S1812">
        <f>CONCATENATE(F1812,E1812)</f>
        <v>NON FTLNON FTL</v>
      </c>
    </row>
    <row r="1813">
      <c t="s" s="7" r="A1813">
        <v>201</v>
      </c>
      <c s="7" r="B1813">
        <v>1840</v>
      </c>
      <c s="30" r="C1813">
        <v>18</v>
      </c>
      <c t="s" s="30" r="D1813">
        <v>136</v>
      </c>
      <c t="s" s="30" r="E1813">
        <v>4</v>
      </c>
      <c t="s" s="30" r="F1813">
        <v>4</v>
      </c>
      <c t="s" s="30" r="G1813">
        <v>264</v>
      </c>
      <c t="str" s="12" r="H1813">
        <f>HYPERLINK("http://sofifa.com/en/fifa13winter/player/146760-angel-lafita-castillo","Lafita")</f>
        <v>Lafita</v>
      </c>
      <c s="30" r="I1813">
        <v>75</v>
      </c>
      <c t="s" s="30" r="J1813">
        <v>162</v>
      </c>
      <c t="s" s="30" r="K1813">
        <v>134</v>
      </c>
      <c t="s" s="30" r="L1813">
        <v>119</v>
      </c>
      <c s="30" r="M1813">
        <v>28</v>
      </c>
      <c s="26" r="N1813">
        <v>4.5</v>
      </c>
      <c s="23" r="O1813">
        <v>0.013</v>
      </c>
      <c s="7" r="P1813"/>
      <c s="7" r="Q1813"/>
      <c s="7" r="R1813">
        <f>IF((P1813&gt;0),O1813,0)</f>
        <v>0</v>
      </c>
      <c t="str" r="S1813">
        <f>CONCATENATE(F1813,E1813)</f>
        <v>NON FTLNON FTL</v>
      </c>
    </row>
    <row r="1814">
      <c t="s" s="7" r="A1814">
        <v>201</v>
      </c>
      <c s="7" r="B1814">
        <v>1841</v>
      </c>
      <c s="30" r="C1814">
        <v>10</v>
      </c>
      <c t="s" s="30" r="D1814">
        <v>136</v>
      </c>
      <c t="s" s="30" r="E1814">
        <v>4</v>
      </c>
      <c t="s" s="30" r="F1814">
        <v>4</v>
      </c>
      <c t="s" s="30" r="G1814">
        <v>264</v>
      </c>
      <c t="str" s="12" r="H1814">
        <f>HYPERLINK("http://sofifa.com/en/fifa13winter/player/147038-jaime-gavilan-martinez","Gavilán")</f>
        <v>Gavilán</v>
      </c>
      <c s="30" r="I1814">
        <v>73</v>
      </c>
      <c t="s" s="30" r="J1814">
        <v>128</v>
      </c>
      <c t="s" s="30" r="K1814">
        <v>145</v>
      </c>
      <c t="s" s="30" r="L1814">
        <v>146</v>
      </c>
      <c s="30" r="M1814">
        <v>27</v>
      </c>
      <c s="26" r="N1814">
        <v>3</v>
      </c>
      <c s="23" r="O1814">
        <v>0.01</v>
      </c>
      <c s="7" r="P1814"/>
      <c s="7" r="Q1814"/>
      <c s="7" r="R1814">
        <f>IF((P1814&gt;0),O1814,0)</f>
        <v>0</v>
      </c>
      <c t="str" r="S1814">
        <f>CONCATENATE(F1814,E1814)</f>
        <v>NON FTLNON FTL</v>
      </c>
    </row>
    <row r="1815">
      <c t="s" s="7" r="A1815">
        <v>201</v>
      </c>
      <c s="7" r="B1815">
        <v>1842</v>
      </c>
      <c s="30" r="C1815">
        <v>5</v>
      </c>
      <c t="s" s="30" r="D1815">
        <v>136</v>
      </c>
      <c t="s" s="30" r="E1815">
        <v>4</v>
      </c>
      <c t="s" s="30" r="F1815">
        <v>4</v>
      </c>
      <c t="s" s="30" r="G1815">
        <v>264</v>
      </c>
      <c t="str" s="12" r="H1815">
        <f>HYPERLINK("http://sofifa.com/en/fifa13winter/player/146615-mehdi-lacen","M. Lacen")</f>
        <v>M. Lacen</v>
      </c>
      <c s="30" r="I1815">
        <v>73</v>
      </c>
      <c t="s" s="30" r="J1815">
        <v>124</v>
      </c>
      <c t="s" s="30" r="K1815">
        <v>172</v>
      </c>
      <c t="s" s="30" r="L1815">
        <v>160</v>
      </c>
      <c s="30" r="M1815">
        <v>28</v>
      </c>
      <c s="26" r="N1815">
        <v>2.8</v>
      </c>
      <c s="23" r="O1815">
        <v>0.01</v>
      </c>
      <c s="7" r="P1815"/>
      <c s="7" r="Q1815"/>
      <c s="7" r="R1815">
        <f>IF((P1815&gt;0),O1815,0)</f>
        <v>0</v>
      </c>
      <c t="str" r="S1815">
        <f>CONCATENATE(F1815,E1815)</f>
        <v>NON FTLNON FTL</v>
      </c>
    </row>
    <row r="1816">
      <c t="s" s="7" r="A1816">
        <v>201</v>
      </c>
      <c s="7" r="B1816">
        <v>1843</v>
      </c>
      <c s="30" r="C1816">
        <v>30</v>
      </c>
      <c t="s" s="30" r="D1816">
        <v>147</v>
      </c>
      <c t="s" s="30" r="E1816">
        <v>4</v>
      </c>
      <c t="s" s="30" r="F1816">
        <v>4</v>
      </c>
      <c t="s" s="30" r="G1816">
        <v>264</v>
      </c>
      <c t="str" s="12" r="H1816">
        <f>HYPERLINK("http://sofifa.com/en/fifa13winter/player/148817-jose-miguel-ruiz-del-amo","José")</f>
        <v>José</v>
      </c>
      <c s="30" r="I1816">
        <v>58</v>
      </c>
      <c t="s" s="30" r="J1816">
        <v>109</v>
      </c>
      <c t="s" s="30" r="K1816">
        <v>139</v>
      </c>
      <c t="s" s="30" r="L1816">
        <v>122</v>
      </c>
      <c s="30" r="M1816">
        <v>22</v>
      </c>
      <c s="26" r="N1816">
        <v>0.3</v>
      </c>
      <c s="23" r="O1816">
        <v>0.002</v>
      </c>
      <c s="7" r="P1816"/>
      <c s="7" r="Q1816"/>
      <c s="7" r="R1816">
        <f>IF((P1816&gt;0),O1816,0)</f>
        <v>0</v>
      </c>
      <c t="str" r="S1816">
        <f>CONCATENATE(F1816,E1816)</f>
        <v>NON FTLNON FTL</v>
      </c>
    </row>
    <row r="1817">
      <c t="s" s="7" r="A1817">
        <v>201</v>
      </c>
      <c s="7" r="B1817">
        <v>1844</v>
      </c>
      <c s="30" r="C1817">
        <v>33</v>
      </c>
      <c t="s" s="30" r="D1817">
        <v>147</v>
      </c>
      <c t="s" s="30" r="E1817">
        <v>4</v>
      </c>
      <c t="s" s="30" r="F1817">
        <v>4</v>
      </c>
      <c t="s" s="30" r="G1817">
        <v>264</v>
      </c>
      <c t="str" s="12" r="H1817">
        <f>HYPERLINK("http://sofifa.com/en/fifa13winter/player/148043-alberto-manuel-dominguez-rivas","Alberto")</f>
        <v>Alberto</v>
      </c>
      <c s="30" r="I1817">
        <v>54</v>
      </c>
      <c t="s" s="30" r="J1817">
        <v>106</v>
      </c>
      <c t="s" s="30" r="K1817">
        <v>150</v>
      </c>
      <c t="s" s="30" r="L1817">
        <v>151</v>
      </c>
      <c s="30" r="M1817">
        <v>24</v>
      </c>
      <c s="26" r="N1817">
        <v>0.1</v>
      </c>
      <c s="23" r="O1817">
        <v>0.002</v>
      </c>
      <c s="7" r="P1817"/>
      <c s="7" r="Q1817"/>
      <c s="7" r="R1817">
        <f>IF((P1817&gt;0),O1817,0)</f>
        <v>0</v>
      </c>
      <c t="str" r="S1817">
        <f>CONCATENATE(F1817,E1817)</f>
        <v>NON FTLNON FTL</v>
      </c>
    </row>
    <row r="1818">
      <c t="s" s="7" r="A1818">
        <v>201</v>
      </c>
      <c s="7" r="B1818">
        <v>1845</v>
      </c>
      <c s="30" r="C1818">
        <v>41</v>
      </c>
      <c t="s" s="30" r="D1818">
        <v>147</v>
      </c>
      <c t="s" s="30" r="E1818">
        <v>4</v>
      </c>
      <c t="s" s="30" r="F1818">
        <v>4</v>
      </c>
      <c t="s" s="30" r="G1818">
        <v>264</v>
      </c>
      <c t="str" s="12" r="H1818">
        <f>HYPERLINK("http://sofifa.com/en/fifa13winter/player/148934-oscar-fondevila-gonzalez","Fondevila")</f>
        <v>Fondevila</v>
      </c>
      <c s="30" r="I1818">
        <v>61</v>
      </c>
      <c t="s" s="30" r="J1818">
        <v>120</v>
      </c>
      <c t="s" s="30" r="K1818">
        <v>114</v>
      </c>
      <c t="s" s="30" r="L1818">
        <v>151</v>
      </c>
      <c s="30" r="M1818">
        <v>22</v>
      </c>
      <c s="26" r="N1818">
        <v>0.6</v>
      </c>
      <c s="23" r="O1818">
        <v>0.003</v>
      </c>
      <c s="7" r="P1818"/>
      <c s="7" r="Q1818"/>
      <c s="7" r="R1818">
        <f>IF((P1818&gt;0),O1818,0)</f>
        <v>0</v>
      </c>
      <c t="str" r="S1818">
        <f>CONCATENATE(F1818,E1818)</f>
        <v>NON FTLNON FTL</v>
      </c>
    </row>
    <row r="1819">
      <c t="s" s="7" r="A1819">
        <v>201</v>
      </c>
      <c s="7" r="B1819">
        <v>1846</v>
      </c>
      <c s="30" r="C1819">
        <v>38</v>
      </c>
      <c t="s" s="30" r="D1819">
        <v>147</v>
      </c>
      <c t="s" s="30" r="E1819">
        <v>4</v>
      </c>
      <c t="s" s="30" r="F1819">
        <v>4</v>
      </c>
      <c t="s" s="30" r="G1819">
        <v>264</v>
      </c>
      <c t="str" s="12" r="H1819">
        <f>HYPERLINK("http://sofifa.com/en/fifa13winter/player/148731-ousmane-balde","O. Baldé")</f>
        <v>O. Baldé</v>
      </c>
      <c s="30" r="I1819">
        <v>60</v>
      </c>
      <c t="s" s="30" r="J1819">
        <v>113</v>
      </c>
      <c t="s" s="30" r="K1819">
        <v>114</v>
      </c>
      <c t="s" s="30" r="L1819">
        <v>151</v>
      </c>
      <c s="30" r="M1819">
        <v>22</v>
      </c>
      <c s="26" r="N1819">
        <v>0.5</v>
      </c>
      <c s="23" r="O1819">
        <v>0.003</v>
      </c>
      <c s="7" r="P1819"/>
      <c s="7" r="Q1819"/>
      <c s="7" r="R1819">
        <f>IF((P1819&gt;0),O1819,0)</f>
        <v>0</v>
      </c>
      <c t="str" r="S1819">
        <f>CONCATENATE(F1819,E1819)</f>
        <v>NON FTLNON FTL</v>
      </c>
    </row>
    <row r="1820">
      <c t="s" s="7" r="A1820">
        <v>201</v>
      </c>
      <c s="7" r="B1820">
        <v>1847</v>
      </c>
      <c s="30" r="C1820">
        <v>3</v>
      </c>
      <c t="s" s="30" r="D1820">
        <v>147</v>
      </c>
      <c t="s" s="30" r="E1820">
        <v>4</v>
      </c>
      <c t="s" s="30" r="F1820">
        <v>4</v>
      </c>
      <c t="s" s="30" r="G1820">
        <v>264</v>
      </c>
      <c t="str" s="12" r="H1820">
        <f>HYPERLINK("http://sofifa.com/en/fifa13winter/player/145800-jose-manuel-jimenez-ortiz","Mané")</f>
        <v>Mané</v>
      </c>
      <c s="30" r="I1820">
        <v>69</v>
      </c>
      <c t="s" s="30" r="J1820">
        <v>117</v>
      </c>
      <c t="s" s="30" r="K1820">
        <v>139</v>
      </c>
      <c t="s" s="30" r="L1820">
        <v>146</v>
      </c>
      <c s="30" r="M1820">
        <v>30</v>
      </c>
      <c s="26" r="N1820">
        <v>1.4</v>
      </c>
      <c s="23" r="O1820">
        <v>0.007</v>
      </c>
      <c s="7" r="P1820"/>
      <c s="7" r="Q1820"/>
      <c s="7" r="R1820">
        <f>IF((P1820&gt;0),O1820,0)</f>
        <v>0</v>
      </c>
      <c t="str" r="S1820">
        <f>CONCATENATE(F1820,E1820)</f>
        <v>NON FTLNON FTL</v>
      </c>
    </row>
    <row r="1821">
      <c t="s" s="7" r="A1821">
        <v>201</v>
      </c>
      <c s="7" r="B1821">
        <v>1848</v>
      </c>
      <c s="30" r="C1821">
        <v>29</v>
      </c>
      <c t="s" s="30" r="D1821">
        <v>147</v>
      </c>
      <c t="s" s="30" r="E1821">
        <v>4</v>
      </c>
      <c t="s" s="30" r="F1821">
        <v>4</v>
      </c>
      <c t="s" s="30" r="G1821">
        <v>264</v>
      </c>
      <c t="str" s="12" r="H1821">
        <f>HYPERLINK("http://sofifa.com/en/fifa13winter/player/149100-yacine-qasmi","Y. Qasmi")</f>
        <v>Y. Qasmi</v>
      </c>
      <c s="30" r="I1821">
        <v>60</v>
      </c>
      <c t="s" s="30" r="J1821">
        <v>129</v>
      </c>
      <c t="s" s="30" r="K1821">
        <v>167</v>
      </c>
      <c t="s" s="30" r="L1821">
        <v>151</v>
      </c>
      <c s="30" r="M1821">
        <v>21</v>
      </c>
      <c s="26" r="N1821">
        <v>0.6</v>
      </c>
      <c s="23" r="O1821">
        <v>0.003</v>
      </c>
      <c s="7" r="P1821"/>
      <c s="7" r="Q1821"/>
      <c s="7" r="R1821">
        <f>IF((P1821&gt;0),O1821,0)</f>
        <v>0</v>
      </c>
      <c t="str" r="S1821">
        <f>CONCATENATE(F1821,E1821)</f>
        <v>NON FTLNON FTL</v>
      </c>
    </row>
    <row r="1822">
      <c t="s" s="7" r="A1822">
        <v>201</v>
      </c>
      <c s="7" r="B1822">
        <v>1849</v>
      </c>
      <c s="30" r="C1822">
        <v>43</v>
      </c>
      <c t="s" s="30" r="D1822">
        <v>147</v>
      </c>
      <c t="s" s="30" r="E1822">
        <v>4</v>
      </c>
      <c t="s" s="30" r="F1822">
        <v>4</v>
      </c>
      <c t="s" s="30" r="G1822">
        <v>264</v>
      </c>
      <c t="str" s="12" r="H1822">
        <f>HYPERLINK("http://sofifa.com/en/fifa13winter/player/148593-manuel-torres-caturla","Manu Torres")</f>
        <v>Manu Torres</v>
      </c>
      <c s="30" r="I1822">
        <v>62</v>
      </c>
      <c t="s" s="30" r="J1822">
        <v>117</v>
      </c>
      <c t="s" s="30" r="K1822">
        <v>173</v>
      </c>
      <c t="s" s="30" r="L1822">
        <v>137</v>
      </c>
      <c s="30" r="M1822">
        <v>23</v>
      </c>
      <c s="26" r="N1822">
        <v>0.7</v>
      </c>
      <c s="23" r="O1822">
        <v>0.004</v>
      </c>
      <c s="7" r="P1822"/>
      <c s="7" r="Q1822"/>
      <c s="7" r="R1822">
        <f>IF((P1822&gt;0),O1822,0)</f>
        <v>0</v>
      </c>
      <c t="str" r="S1822">
        <f>CONCATENATE(F1822,E1822)</f>
        <v>NON FTLNON FTL</v>
      </c>
    </row>
    <row r="1823">
      <c t="s" s="7" r="A1823">
        <v>201</v>
      </c>
      <c s="7" r="B1823">
        <v>1850</v>
      </c>
      <c s="30" r="C1823">
        <v>40</v>
      </c>
      <c t="s" s="30" r="D1823">
        <v>147</v>
      </c>
      <c t="s" s="30" r="E1823">
        <v>4</v>
      </c>
      <c t="s" s="30" r="F1823">
        <v>4</v>
      </c>
      <c t="s" s="30" r="G1823">
        <v>264</v>
      </c>
      <c t="str" s="12" r="H1823">
        <f>HYPERLINK("http://sofifa.com/en/fifa13winter/player/148176-beyogode-hans-dibi","B. Dibi")</f>
        <v>B. Dibi</v>
      </c>
      <c s="30" r="I1823">
        <v>57</v>
      </c>
      <c t="s" s="30" r="J1823">
        <v>154</v>
      </c>
      <c t="s" s="30" r="K1823">
        <v>165</v>
      </c>
      <c t="s" s="30" r="L1823">
        <v>153</v>
      </c>
      <c s="30" r="M1823">
        <v>24</v>
      </c>
      <c s="26" r="N1823">
        <v>0.2</v>
      </c>
      <c s="23" r="O1823">
        <v>0.002</v>
      </c>
      <c s="7" r="P1823"/>
      <c s="7" r="Q1823"/>
      <c s="7" r="R1823">
        <f>IF((P1823&gt;0),O1823,0)</f>
        <v>0</v>
      </c>
      <c t="str" r="S1823">
        <f>CONCATENATE(F1823,E1823)</f>
        <v>NON FTLNON FTL</v>
      </c>
    </row>
    <row r="1824">
      <c t="s" s="7" r="A1824">
        <v>201</v>
      </c>
      <c s="7" r="B1824">
        <v>1851</v>
      </c>
      <c s="30" r="C1824">
        <v>22</v>
      </c>
      <c t="s" s="30" r="D1824">
        <v>147</v>
      </c>
      <c t="s" s="30" r="E1824">
        <v>4</v>
      </c>
      <c t="s" s="30" r="F1824">
        <v>4</v>
      </c>
      <c t="s" s="30" r="G1824">
        <v>264</v>
      </c>
      <c t="str" s="12" r="H1824">
        <f>HYPERLINK("http://sofifa.com/en/fifa13winter/player/145901-juan-antonio-rodriguez-v","Juan Rodriguez")</f>
        <v>Juan Rodriguez</v>
      </c>
      <c s="30" r="I1824">
        <v>71</v>
      </c>
      <c t="s" s="30" r="J1824">
        <v>124</v>
      </c>
      <c t="s" s="30" r="K1824">
        <v>132</v>
      </c>
      <c t="s" s="30" r="L1824">
        <v>153</v>
      </c>
      <c s="30" r="M1824">
        <v>30</v>
      </c>
      <c s="26" r="N1824">
        <v>1.9</v>
      </c>
      <c s="23" r="O1824">
        <v>0.009</v>
      </c>
      <c s="7" r="P1824"/>
      <c s="7" r="Q1824"/>
      <c s="7" r="R1824">
        <f>IF((P1824&gt;0),O1824,0)</f>
        <v>0</v>
      </c>
      <c t="str" r="S1824">
        <f>CONCATENATE(F1824,E1824)</f>
        <v>NON FTLNON FTL</v>
      </c>
    </row>
    <row r="1825">
      <c t="s" s="7" r="A1825">
        <v>201</v>
      </c>
      <c s="7" r="B1825">
        <v>1852</v>
      </c>
      <c s="30" r="C1825">
        <v>32</v>
      </c>
      <c t="s" s="30" r="D1825">
        <v>147</v>
      </c>
      <c t="s" s="30" r="E1825">
        <v>4</v>
      </c>
      <c t="s" s="30" r="F1825">
        <v>4</v>
      </c>
      <c t="s" s="30" r="G1825">
        <v>264</v>
      </c>
      <c t="str" s="12" r="H1825">
        <f>HYPERLINK("http://sofifa.com/en/fifa13winter/player/148310-sergio-postigo-redondo","Postigo")</f>
        <v>Postigo</v>
      </c>
      <c s="30" r="I1825">
        <v>61</v>
      </c>
      <c t="s" s="30" r="J1825">
        <v>113</v>
      </c>
      <c t="s" s="30" r="K1825">
        <v>167</v>
      </c>
      <c t="s" s="30" r="L1825">
        <v>161</v>
      </c>
      <c s="30" r="M1825">
        <v>23</v>
      </c>
      <c s="26" r="N1825">
        <v>0.6</v>
      </c>
      <c s="23" r="O1825">
        <v>0.003</v>
      </c>
      <c s="7" r="P1825"/>
      <c s="7" r="Q1825"/>
      <c s="7" r="R1825">
        <f>IF((P1825&gt;0),O1825,0)</f>
        <v>0</v>
      </c>
      <c t="str" r="S1825">
        <f>CONCATENATE(F1825,E1825)</f>
        <v>NON FTLNON FTL</v>
      </c>
    </row>
    <row r="1826">
      <c t="s" s="7" r="A1826">
        <v>201</v>
      </c>
      <c s="7" r="B1826">
        <v>1853</v>
      </c>
      <c s="30" r="C1826">
        <v>12</v>
      </c>
      <c t="s" s="30" r="D1826">
        <v>106</v>
      </c>
      <c t="s" s="30" r="E1826">
        <v>4</v>
      </c>
      <c t="s" s="30" r="F1826">
        <v>4</v>
      </c>
      <c t="s" s="30" r="G1826">
        <v>265</v>
      </c>
      <c t="str" s="12" r="H1826">
        <f>HYPERLINK("http://sofifa.com/en/fifa13winter/player/146145-diego-cavalieri","Diego Cavalieri")</f>
        <v>Diego Cavalieri</v>
      </c>
      <c s="30" r="I1826">
        <v>81</v>
      </c>
      <c t="s" s="30" r="J1826">
        <v>106</v>
      </c>
      <c t="s" s="30" r="K1826">
        <v>144</v>
      </c>
      <c t="s" s="30" r="L1826">
        <v>180</v>
      </c>
      <c s="30" r="M1826">
        <v>29</v>
      </c>
      <c s="26" r="N1826">
        <v>8.6</v>
      </c>
      <c s="23" r="O1826">
        <v>0.043</v>
      </c>
      <c s="7" r="P1826"/>
      <c s="7" r="Q1826"/>
      <c s="7" r="R1826">
        <f>IF((P1826&gt;0),O1826,0)</f>
        <v>0</v>
      </c>
      <c t="str" r="S1826">
        <f>CONCATENATE(F1826,E1826)</f>
        <v>NON FTLNON FTL</v>
      </c>
    </row>
    <row r="1827">
      <c t="s" s="7" r="A1827">
        <v>201</v>
      </c>
      <c s="7" r="B1827">
        <v>1854</v>
      </c>
      <c s="30" r="C1827">
        <v>2</v>
      </c>
      <c t="s" s="30" r="D1827">
        <v>109</v>
      </c>
      <c t="s" s="30" r="E1827">
        <v>4</v>
      </c>
      <c t="s" s="30" r="F1827">
        <v>4</v>
      </c>
      <c t="s" s="30" r="G1827">
        <v>265</v>
      </c>
      <c t="str" s="12" r="H1827">
        <f>HYPERLINK("http://sofifa.com/en/fifa13winter/player/147148-bruno-do-nascimento","Bruno")</f>
        <v>Bruno</v>
      </c>
      <c s="30" r="I1827">
        <v>69</v>
      </c>
      <c t="s" s="30" r="J1827">
        <v>109</v>
      </c>
      <c t="s" s="30" r="K1827">
        <v>139</v>
      </c>
      <c t="s" s="30" r="L1827">
        <v>160</v>
      </c>
      <c s="30" r="M1827">
        <v>27</v>
      </c>
      <c s="26" r="N1827">
        <v>1.6</v>
      </c>
      <c s="23" r="O1827">
        <v>0.007</v>
      </c>
      <c s="7" r="P1827"/>
      <c s="7" r="Q1827"/>
      <c s="7" r="R1827">
        <f>IF((P1827&gt;0),O1827,0)</f>
        <v>0</v>
      </c>
      <c t="str" r="S1827">
        <f>CONCATENATE(F1827,E1827)</f>
        <v>NON FTLNON FTL</v>
      </c>
    </row>
    <row r="1828">
      <c t="s" s="7" r="A1828">
        <v>201</v>
      </c>
      <c s="7" r="B1828">
        <v>1855</v>
      </c>
      <c s="30" r="C1828">
        <v>3</v>
      </c>
      <c t="s" s="30" r="D1828">
        <v>112</v>
      </c>
      <c t="s" s="30" r="E1828">
        <v>4</v>
      </c>
      <c t="s" s="30" r="F1828">
        <v>4</v>
      </c>
      <c t="s" s="30" r="G1828">
        <v>265</v>
      </c>
      <c t="str" s="12" r="H1828">
        <f>HYPERLINK("http://sofifa.com/en/fifa13winter/player/147275-welington-pereira-rodrigues","Gum")</f>
        <v>Gum</v>
      </c>
      <c s="30" r="I1828">
        <v>72</v>
      </c>
      <c t="s" s="30" r="J1828">
        <v>113</v>
      </c>
      <c t="s" s="30" r="K1828">
        <v>169</v>
      </c>
      <c t="s" s="30" r="L1828">
        <v>180</v>
      </c>
      <c s="30" r="M1828">
        <v>26</v>
      </c>
      <c s="26" r="N1828">
        <v>2.5</v>
      </c>
      <c s="23" r="O1828">
        <v>0.009</v>
      </c>
      <c s="7" r="P1828"/>
      <c s="7" r="Q1828"/>
      <c s="7" r="R1828">
        <f>IF((P1828&gt;0),O1828,0)</f>
        <v>0</v>
      </c>
      <c t="str" r="S1828">
        <f>CONCATENATE(F1828,E1828)</f>
        <v>NON FTLNON FTL</v>
      </c>
    </row>
    <row r="1829">
      <c t="s" s="7" r="A1829">
        <v>201</v>
      </c>
      <c s="7" r="B1829">
        <v>1856</v>
      </c>
      <c s="30" r="C1829">
        <v>4</v>
      </c>
      <c t="s" s="30" r="D1829">
        <v>116</v>
      </c>
      <c t="s" s="30" r="E1829">
        <v>4</v>
      </c>
      <c t="s" s="30" r="F1829">
        <v>4</v>
      </c>
      <c t="s" s="30" r="G1829">
        <v>265</v>
      </c>
      <c t="str" s="12" r="H1829">
        <f>HYPERLINK("http://sofifa.com/en/fifa13winter/player/145675-leandro-da-fonseca-euzebio","Leandro Euzébio")</f>
        <v>Leandro Euzébio</v>
      </c>
      <c s="30" r="I1829">
        <v>72</v>
      </c>
      <c t="s" s="30" r="J1829">
        <v>113</v>
      </c>
      <c t="s" s="30" r="K1829">
        <v>155</v>
      </c>
      <c t="s" s="30" r="L1829">
        <v>183</v>
      </c>
      <c s="30" r="M1829">
        <v>31</v>
      </c>
      <c s="26" r="N1829">
        <v>2.2</v>
      </c>
      <c s="23" r="O1829">
        <v>0.01</v>
      </c>
      <c s="7" r="P1829"/>
      <c s="7" r="Q1829"/>
      <c s="7" r="R1829">
        <f>IF((P1829&gt;0),O1829,0)</f>
        <v>0</v>
      </c>
      <c t="str" r="S1829">
        <f>CONCATENATE(F1829,E1829)</f>
        <v>NON FTLNON FTL</v>
      </c>
    </row>
    <row r="1830">
      <c t="s" s="7" r="A1830">
        <v>201</v>
      </c>
      <c s="7" r="B1830">
        <v>1857</v>
      </c>
      <c s="30" r="C1830">
        <v>6</v>
      </c>
      <c t="s" s="30" r="D1830">
        <v>117</v>
      </c>
      <c t="s" s="30" r="E1830">
        <v>4</v>
      </c>
      <c t="s" s="30" r="F1830">
        <v>4</v>
      </c>
      <c t="s" s="30" r="G1830">
        <v>265</v>
      </c>
      <c t="str" s="12" r="H1830">
        <f>HYPERLINK("http://sofifa.com/en/fifa13winter/player/147659-carlos-andrade-souza","Carlinhos")</f>
        <v>Carlinhos</v>
      </c>
      <c s="30" r="I1830">
        <v>72</v>
      </c>
      <c t="s" s="30" r="J1830">
        <v>117</v>
      </c>
      <c t="s" s="30" r="K1830">
        <v>139</v>
      </c>
      <c t="s" s="30" r="L1830">
        <v>115</v>
      </c>
      <c s="30" r="M1830">
        <v>25</v>
      </c>
      <c s="26" r="N1830">
        <v>2.5</v>
      </c>
      <c s="23" r="O1830">
        <v>0.009</v>
      </c>
      <c s="7" r="P1830"/>
      <c s="7" r="Q1830"/>
      <c s="7" r="R1830">
        <f>IF((P1830&gt;0),O1830,0)</f>
        <v>0</v>
      </c>
      <c t="str" r="S1830">
        <f>CONCATENATE(F1830,E1830)</f>
        <v>NON FTLNON FTL</v>
      </c>
    </row>
    <row r="1831">
      <c t="s" s="7" r="A1831">
        <v>201</v>
      </c>
      <c s="7" r="B1831">
        <v>1858</v>
      </c>
      <c s="30" r="C1831">
        <v>17</v>
      </c>
      <c t="s" s="30" r="D1831">
        <v>186</v>
      </c>
      <c t="s" s="30" r="E1831">
        <v>4</v>
      </c>
      <c t="s" s="30" r="F1831">
        <v>4</v>
      </c>
      <c t="s" s="30" r="G1831">
        <v>265</v>
      </c>
      <c t="str" s="12" r="H1831">
        <f>HYPERLINK("http://sofifa.com/en/fifa13winter/player/146994-edwin-valencia","E. Valencia")</f>
        <v>E. Valencia</v>
      </c>
      <c s="30" r="I1831">
        <v>73</v>
      </c>
      <c t="s" s="30" r="J1831">
        <v>154</v>
      </c>
      <c t="s" s="30" r="K1831">
        <v>132</v>
      </c>
      <c t="s" s="30" r="L1831">
        <v>153</v>
      </c>
      <c s="30" r="M1831">
        <v>27</v>
      </c>
      <c s="26" r="N1831">
        <v>2.7</v>
      </c>
      <c s="23" r="O1831">
        <v>0.01</v>
      </c>
      <c s="7" r="P1831"/>
      <c s="7" r="Q1831"/>
      <c s="7" r="R1831">
        <f>IF((P1831&gt;0),O1831,0)</f>
        <v>0</v>
      </c>
      <c t="str" r="S1831">
        <f>CONCATENATE(F1831,E1831)</f>
        <v>NON FTLNON FTL</v>
      </c>
    </row>
    <row r="1832">
      <c t="s" s="7" r="A1832">
        <v>201</v>
      </c>
      <c s="7" r="B1832">
        <v>1859</v>
      </c>
      <c s="30" r="C1832">
        <v>5</v>
      </c>
      <c t="s" s="30" r="D1832">
        <v>174</v>
      </c>
      <c t="s" s="30" r="E1832">
        <v>4</v>
      </c>
      <c t="s" s="30" r="F1832">
        <v>4</v>
      </c>
      <c t="s" s="30" r="G1832">
        <v>265</v>
      </c>
      <c t="str" s="12" r="H1832">
        <f>HYPERLINK("http://sofifa.com/en/fifa13winter/player/146190-edimo-ferreira-campos","Edinho")</f>
        <v>Edinho</v>
      </c>
      <c s="30" r="I1832">
        <v>72</v>
      </c>
      <c t="s" s="30" r="J1832">
        <v>154</v>
      </c>
      <c t="s" s="30" r="K1832">
        <v>110</v>
      </c>
      <c t="s" s="30" r="L1832">
        <v>156</v>
      </c>
      <c s="30" r="M1832">
        <v>29</v>
      </c>
      <c s="26" r="N1832">
        <v>2.2</v>
      </c>
      <c s="23" r="O1832">
        <v>0.009</v>
      </c>
      <c s="7" r="P1832"/>
      <c s="7" r="Q1832"/>
      <c s="7" r="R1832">
        <f>IF((P1832&gt;0),O1832,0)</f>
        <v>0</v>
      </c>
      <c t="str" r="S1832">
        <f>CONCATENATE(F1832,E1832)</f>
        <v>NON FTLNON FTL</v>
      </c>
    </row>
    <row r="1833">
      <c t="s" s="7" r="A1833">
        <v>201</v>
      </c>
      <c s="7" r="B1833">
        <v>1860</v>
      </c>
      <c s="30" r="C1833">
        <v>10</v>
      </c>
      <c t="s" s="30" r="D1833">
        <v>234</v>
      </c>
      <c t="s" s="30" r="E1833">
        <v>4</v>
      </c>
      <c t="s" s="30" r="F1833">
        <v>4</v>
      </c>
      <c t="s" s="30" r="G1833">
        <v>265</v>
      </c>
      <c t="str" s="12" r="H1833">
        <f>HYPERLINK("http://sofifa.com/en/fifa13winter/player/146964-thiago-neves-augusto","Thiago Neves")</f>
        <v>Thiago Neves</v>
      </c>
      <c s="30" r="I1833">
        <v>77</v>
      </c>
      <c t="s" s="30" r="J1833">
        <v>162</v>
      </c>
      <c t="s" s="30" r="K1833">
        <v>143</v>
      </c>
      <c t="s" s="30" r="L1833">
        <v>122</v>
      </c>
      <c s="30" r="M1833">
        <v>27</v>
      </c>
      <c s="26" r="N1833">
        <v>6.3</v>
      </c>
      <c s="23" r="O1833">
        <v>0.017</v>
      </c>
      <c s="7" r="P1833"/>
      <c s="7" r="Q1833"/>
      <c s="7" r="R1833">
        <f>IF((P1833&gt;0),O1833,0)</f>
        <v>0</v>
      </c>
      <c t="str" r="S1833">
        <f>CONCATENATE(F1833,E1833)</f>
        <v>NON FTLNON FTL</v>
      </c>
    </row>
    <row r="1834">
      <c t="s" s="7" r="A1834">
        <v>201</v>
      </c>
      <c s="7" r="B1834">
        <v>1861</v>
      </c>
      <c s="30" r="C1834">
        <v>19</v>
      </c>
      <c t="s" s="30" r="D1834">
        <v>235</v>
      </c>
      <c t="s" s="30" r="E1834">
        <v>4</v>
      </c>
      <c t="s" s="30" r="F1834">
        <v>4</v>
      </c>
      <c t="s" s="30" r="G1834">
        <v>265</v>
      </c>
      <c t="str" s="12" r="H1834">
        <f>HYPERLINK("http://sofifa.com/en/fifa13winter/player/146935-wagner-ferreira-dos-santos","Wagner")</f>
        <v>Wagner</v>
      </c>
      <c s="30" r="I1834">
        <v>75</v>
      </c>
      <c t="s" s="30" r="J1834">
        <v>162</v>
      </c>
      <c t="s" s="30" r="K1834">
        <v>139</v>
      </c>
      <c t="s" s="30" r="L1834">
        <v>149</v>
      </c>
      <c s="30" r="M1834">
        <v>27</v>
      </c>
      <c s="26" r="N1834">
        <v>4.6</v>
      </c>
      <c s="23" r="O1834">
        <v>0.013</v>
      </c>
      <c s="7" r="P1834"/>
      <c s="7" r="Q1834"/>
      <c s="7" r="R1834">
        <f>IF((P1834&gt;0),O1834,0)</f>
        <v>0</v>
      </c>
      <c t="str" r="S1834">
        <f>CONCATENATE(F1834,E1834)</f>
        <v>NON FTLNON FTL</v>
      </c>
    </row>
    <row r="1835">
      <c t="s" s="7" r="A1835">
        <v>201</v>
      </c>
      <c s="7" r="B1835">
        <v>1862</v>
      </c>
      <c s="30" r="C1835">
        <v>23</v>
      </c>
      <c t="s" s="30" r="D1835">
        <v>131</v>
      </c>
      <c t="s" s="30" r="E1835">
        <v>4</v>
      </c>
      <c t="s" s="30" r="F1835">
        <v>4</v>
      </c>
      <c t="s" s="30" r="G1835">
        <v>265</v>
      </c>
      <c t="str" s="12" r="H1835">
        <f>HYPERLINK("http://sofifa.com/en/fifa13winter/player/147074-rafael-augusto-sobis-do-nascimento","Rafael Sóbis")</f>
        <v>Rafael Sóbis</v>
      </c>
      <c s="30" r="I1835">
        <v>75</v>
      </c>
      <c t="s" s="30" r="J1835">
        <v>171</v>
      </c>
      <c t="s" s="30" r="K1835">
        <v>187</v>
      </c>
      <c t="s" s="30" r="L1835">
        <v>119</v>
      </c>
      <c s="30" r="M1835">
        <v>27</v>
      </c>
      <c s="26" r="N1835">
        <v>4.8</v>
      </c>
      <c s="23" r="O1835">
        <v>0.013</v>
      </c>
      <c s="7" r="P1835"/>
      <c s="7" r="Q1835"/>
      <c s="7" r="R1835">
        <f>IF((P1835&gt;0),O1835,0)</f>
        <v>0</v>
      </c>
      <c t="str" r="S1835">
        <f>CONCATENATE(F1835,E1835)</f>
        <v>NON FTLNON FTL</v>
      </c>
    </row>
    <row r="1836">
      <c t="s" s="7" r="A1836">
        <v>201</v>
      </c>
      <c s="7" r="B1836">
        <v>1863</v>
      </c>
      <c s="30" r="C1836">
        <v>9</v>
      </c>
      <c t="s" s="30" r="D1836">
        <v>133</v>
      </c>
      <c t="s" s="30" r="E1836">
        <v>4</v>
      </c>
      <c t="s" s="30" r="F1836">
        <v>4</v>
      </c>
      <c t="s" s="30" r="G1836">
        <v>265</v>
      </c>
      <c t="str" s="12" r="H1836">
        <f>HYPERLINK("http://sofifa.com/en/fifa13winter/player/146451-frederico-chaves-guedes","Fred")</f>
        <v>Fred</v>
      </c>
      <c s="30" r="I1836">
        <v>82</v>
      </c>
      <c t="s" s="30" r="J1836">
        <v>129</v>
      </c>
      <c t="s" s="30" r="K1836">
        <v>132</v>
      </c>
      <c t="s" s="30" r="L1836">
        <v>156</v>
      </c>
      <c s="30" r="M1836">
        <v>28</v>
      </c>
      <c s="26" r="N1836">
        <v>16.3</v>
      </c>
      <c s="23" r="O1836">
        <v>0.055</v>
      </c>
      <c s="7" r="P1836"/>
      <c s="7" r="Q1836"/>
      <c s="7" r="R1836">
        <f>IF((P1836&gt;0),O1836,0)</f>
        <v>0</v>
      </c>
      <c t="str" r="S1836">
        <f>CONCATENATE(F1836,E1836)</f>
        <v>NON FTLNON FTL</v>
      </c>
    </row>
    <row r="1837">
      <c t="s" s="7" r="A1837">
        <v>201</v>
      </c>
      <c s="7" r="B1837">
        <v>1864</v>
      </c>
      <c s="30" r="C1837">
        <v>15</v>
      </c>
      <c t="s" s="30" r="D1837">
        <v>136</v>
      </c>
      <c t="s" s="30" r="E1837">
        <v>4</v>
      </c>
      <c t="s" s="30" r="F1837">
        <v>4</v>
      </c>
      <c t="s" s="30" r="G1837">
        <v>265</v>
      </c>
      <c t="str" s="12" r="H1837">
        <f>HYPERLINK("http://sofifa.com/en/fifa13winter/player/146048-anderson-grasiane-silva","Anderson")</f>
        <v>Anderson</v>
      </c>
      <c s="30" r="I1837">
        <v>70</v>
      </c>
      <c t="s" s="30" r="J1837">
        <v>113</v>
      </c>
      <c t="s" s="30" r="K1837">
        <v>169</v>
      </c>
      <c t="s" s="30" r="L1837">
        <v>193</v>
      </c>
      <c s="30" r="M1837">
        <v>30</v>
      </c>
      <c s="26" r="N1837">
        <v>1.5</v>
      </c>
      <c s="23" r="O1837">
        <v>0.008</v>
      </c>
      <c s="7" r="P1837"/>
      <c s="7" r="Q1837"/>
      <c s="7" r="R1837">
        <f>IF((P1837&gt;0),O1837,0)</f>
        <v>0</v>
      </c>
      <c t="str" r="S1837">
        <f>CONCATENATE(F1837,E1837)</f>
        <v>NON FTLNON FTL</v>
      </c>
    </row>
    <row r="1838">
      <c t="s" s="7" r="A1838">
        <v>201</v>
      </c>
      <c s="7" r="B1838">
        <v>1865</v>
      </c>
      <c s="30" r="C1838">
        <v>25</v>
      </c>
      <c t="s" s="30" r="D1838">
        <v>136</v>
      </c>
      <c t="s" s="30" r="E1838">
        <v>4</v>
      </c>
      <c t="s" s="30" r="F1838">
        <v>4</v>
      </c>
      <c t="s" s="30" r="G1838">
        <v>265</v>
      </c>
      <c t="str" s="12" r="H1838">
        <f>HYPERLINK("http://sofifa.com/en/fifa13winter/player/148067-wellington-do-nascimento-silva","Wellington Silva")</f>
        <v>Wellington Silva</v>
      </c>
      <c s="30" r="I1838">
        <v>70</v>
      </c>
      <c t="s" s="30" r="J1838">
        <v>109</v>
      </c>
      <c t="s" s="30" r="K1838">
        <v>159</v>
      </c>
      <c t="s" s="30" r="L1838">
        <v>161</v>
      </c>
      <c s="30" r="M1838">
        <v>24</v>
      </c>
      <c s="26" r="N1838">
        <v>1.8</v>
      </c>
      <c s="23" r="O1838">
        <v>0.007</v>
      </c>
      <c s="7" r="P1838"/>
      <c s="7" r="Q1838"/>
      <c s="7" r="R1838">
        <f>IF((P1838&gt;0),O1838,0)</f>
        <v>0</v>
      </c>
      <c t="str" r="S1838">
        <f>CONCATENATE(F1838,E1838)</f>
        <v>NON FTLNON FTL</v>
      </c>
    </row>
    <row r="1839">
      <c t="s" s="7" r="A1839">
        <v>201</v>
      </c>
      <c s="7" r="B1839">
        <v>1866</v>
      </c>
      <c s="30" r="C1839">
        <v>13</v>
      </c>
      <c t="s" s="30" r="D1839">
        <v>136</v>
      </c>
      <c t="s" s="30" r="E1839">
        <v>4</v>
      </c>
      <c t="s" s="30" r="F1839">
        <v>4</v>
      </c>
      <c t="s" s="30" r="G1839">
        <v>265</v>
      </c>
      <c t="str" s="12" r="H1839">
        <f>HYPERLINK("http://sofifa.com/en/fifa13winter/player/148129-rodrigo-junior-paula-silva","Digão")</f>
        <v>Digão</v>
      </c>
      <c s="30" r="I1839">
        <v>71</v>
      </c>
      <c t="s" s="30" r="J1839">
        <v>113</v>
      </c>
      <c t="s" s="30" r="K1839">
        <v>155</v>
      </c>
      <c t="s" s="30" r="L1839">
        <v>179</v>
      </c>
      <c s="30" r="M1839">
        <v>24</v>
      </c>
      <c s="26" r="N1839">
        <v>2.2</v>
      </c>
      <c s="23" r="O1839">
        <v>0.008</v>
      </c>
      <c s="7" r="P1839"/>
      <c s="7" r="Q1839"/>
      <c s="7" r="R1839">
        <f>IF((P1839&gt;0),O1839,0)</f>
        <v>0</v>
      </c>
      <c t="str" r="S1839">
        <f>CONCATENATE(F1839,E1839)</f>
        <v>NON FTLNON FTL</v>
      </c>
    </row>
    <row r="1840">
      <c t="s" s="7" r="A1840">
        <v>201</v>
      </c>
      <c s="7" r="B1840">
        <v>1867</v>
      </c>
      <c s="30" r="C1840">
        <v>22</v>
      </c>
      <c t="s" s="30" r="D1840">
        <v>136</v>
      </c>
      <c t="s" s="30" r="E1840">
        <v>4</v>
      </c>
      <c t="s" s="30" r="F1840">
        <v>4</v>
      </c>
      <c t="s" s="30" r="G1840">
        <v>265</v>
      </c>
      <c t="str" s="12" r="H1840">
        <f>HYPERLINK("http://sofifa.com/en/fifa13winter/player/148980-rhayner-santos-nascimento","Rhayner")</f>
        <v>Rhayner</v>
      </c>
      <c s="30" r="I1840">
        <v>70</v>
      </c>
      <c t="s" s="30" r="J1840">
        <v>162</v>
      </c>
      <c t="s" s="30" r="K1840">
        <v>130</v>
      </c>
      <c t="s" s="30" r="L1840">
        <v>149</v>
      </c>
      <c s="30" r="M1840">
        <v>21</v>
      </c>
      <c s="26" r="N1840">
        <v>2.3</v>
      </c>
      <c s="23" r="O1840">
        <v>0.006</v>
      </c>
      <c s="7" r="P1840"/>
      <c s="7" r="Q1840"/>
      <c s="7" r="R1840">
        <f>IF((P1840&gt;0),O1840,0)</f>
        <v>0</v>
      </c>
      <c t="str" r="S1840">
        <f>CONCATENATE(F1840,E1840)</f>
        <v>NON FTLNON FTL</v>
      </c>
    </row>
    <row r="1841">
      <c t="s" s="7" r="A1841">
        <v>201</v>
      </c>
      <c s="7" r="B1841">
        <v>1868</v>
      </c>
      <c s="30" r="C1841">
        <v>11</v>
      </c>
      <c t="s" s="30" r="D1841">
        <v>136</v>
      </c>
      <c t="s" s="30" r="E1841">
        <v>4</v>
      </c>
      <c t="s" s="30" r="F1841">
        <v>4</v>
      </c>
      <c t="s" s="30" r="G1841">
        <v>265</v>
      </c>
      <c t="str" s="12" r="H1841">
        <f>HYPERLINK("http://sofifa.com/en/fifa13winter/player/149616-wellington-s-sanchez-aguiar","Wellington Nem")</f>
        <v>Wellington Nem</v>
      </c>
      <c s="30" r="I1841">
        <v>74</v>
      </c>
      <c t="s" s="30" r="J1841">
        <v>171</v>
      </c>
      <c t="s" s="30" r="K1841">
        <v>197</v>
      </c>
      <c t="s" s="30" r="L1841">
        <v>149</v>
      </c>
      <c s="30" r="M1841">
        <v>20</v>
      </c>
      <c s="26" r="N1841">
        <v>5</v>
      </c>
      <c s="23" r="O1841">
        <v>0.009</v>
      </c>
      <c s="7" r="P1841"/>
      <c s="7" r="Q1841"/>
      <c s="7" r="R1841">
        <f>IF((P1841&gt;0),O1841,0)</f>
        <v>0</v>
      </c>
      <c t="str" r="S1841">
        <f>CONCATENATE(F1841,E1841)</f>
        <v>NON FTLNON FTL</v>
      </c>
    </row>
    <row r="1842">
      <c t="s" s="7" r="A1842">
        <v>201</v>
      </c>
      <c s="7" r="B1842">
        <v>1869</v>
      </c>
      <c s="30" r="C1842">
        <v>31</v>
      </c>
      <c t="s" s="30" r="D1842">
        <v>136</v>
      </c>
      <c t="s" s="30" r="E1842">
        <v>4</v>
      </c>
      <c t="s" s="30" r="F1842">
        <v>4</v>
      </c>
      <c t="s" s="30" r="G1842">
        <v>265</v>
      </c>
      <c t="str" s="12" r="H1842">
        <f>HYPERLINK("http://sofifa.com/en/fifa13winter/player/149153-samuel-rosa-goncalves","Samuel")</f>
        <v>Samuel</v>
      </c>
      <c s="30" r="I1842">
        <v>68</v>
      </c>
      <c t="s" s="30" r="J1842">
        <v>129</v>
      </c>
      <c t="s" s="30" r="K1842">
        <v>132</v>
      </c>
      <c t="s" s="30" r="L1842">
        <v>108</v>
      </c>
      <c s="30" r="M1842">
        <v>21</v>
      </c>
      <c s="26" r="N1842">
        <v>2</v>
      </c>
      <c s="23" r="O1842">
        <v>0.005</v>
      </c>
      <c s="7" r="P1842"/>
      <c s="7" r="Q1842"/>
      <c s="7" r="R1842">
        <f>IF((P1842&gt;0),O1842,0)</f>
        <v>0</v>
      </c>
      <c t="str" r="S1842">
        <f>CONCATENATE(F1842,E1842)</f>
        <v>NON FTLNON FTL</v>
      </c>
    </row>
    <row r="1843">
      <c t="s" s="7" r="A1843">
        <v>201</v>
      </c>
      <c s="7" r="B1843">
        <v>1870</v>
      </c>
      <c s="30" r="C1843">
        <v>18</v>
      </c>
      <c t="s" s="30" r="D1843">
        <v>136</v>
      </c>
      <c t="s" s="30" r="E1843">
        <v>4</v>
      </c>
      <c t="s" s="30" r="F1843">
        <v>4</v>
      </c>
      <c t="s" s="30" r="G1843">
        <v>265</v>
      </c>
      <c t="str" s="12" r="H1843">
        <f>HYPERLINK("http://sofifa.com/en/fifa13winter/player/147739-luciano-fabian-monzon","L. Monzón")</f>
        <v>L. Monzón</v>
      </c>
      <c s="30" r="I1843">
        <v>74</v>
      </c>
      <c t="s" s="30" r="J1843">
        <v>117</v>
      </c>
      <c t="s" s="30" r="K1843">
        <v>145</v>
      </c>
      <c t="s" s="30" r="L1843">
        <v>151</v>
      </c>
      <c s="30" r="M1843">
        <v>25</v>
      </c>
      <c s="26" r="N1843">
        <v>3.2</v>
      </c>
      <c s="23" r="O1843">
        <v>0.011</v>
      </c>
      <c s="7" r="P1843"/>
      <c s="7" r="Q1843"/>
      <c s="7" r="R1843">
        <f>IF((P1843&gt;0),O1843,0)</f>
        <v>0</v>
      </c>
      <c t="str" r="S1843">
        <f>CONCATENATE(F1843,E1843)</f>
        <v>NON FTLNON FTL</v>
      </c>
    </row>
    <row r="1844">
      <c t="s" s="7" r="A1844">
        <v>201</v>
      </c>
      <c s="7" r="B1844">
        <v>1871</v>
      </c>
      <c s="30" r="C1844">
        <v>7</v>
      </c>
      <c t="s" s="30" r="D1844">
        <v>136</v>
      </c>
      <c t="s" s="30" r="E1844">
        <v>4</v>
      </c>
      <c t="s" s="30" r="F1844">
        <v>4</v>
      </c>
      <c t="s" s="30" r="G1844">
        <v>265</v>
      </c>
      <c t="str" s="12" r="H1844">
        <f>HYPERLINK("http://sofifa.com/en/fifa13winter/player/147446-jean-raphael-vanderlei-moreira","Jean")</f>
        <v>Jean</v>
      </c>
      <c s="30" r="I1844">
        <v>77</v>
      </c>
      <c t="s" s="30" r="J1844">
        <v>154</v>
      </c>
      <c t="s" s="30" r="K1844">
        <v>121</v>
      </c>
      <c t="s" s="30" r="L1844">
        <v>122</v>
      </c>
      <c s="30" r="M1844">
        <v>26</v>
      </c>
      <c s="26" r="N1844">
        <v>5.3</v>
      </c>
      <c s="23" r="O1844">
        <v>0.017</v>
      </c>
      <c s="7" r="P1844"/>
      <c s="7" r="Q1844"/>
      <c s="7" r="R1844">
        <f>IF((P1844&gt;0),O1844,0)</f>
        <v>0</v>
      </c>
      <c t="str" r="S1844">
        <f>CONCATENATE(F1844,E1844)</f>
        <v>NON FTLNON FTL</v>
      </c>
    </row>
    <row r="1845">
      <c t="s" s="7" r="A1845">
        <v>201</v>
      </c>
      <c s="7" r="B1845">
        <v>1872</v>
      </c>
      <c s="30" r="C1845">
        <v>8</v>
      </c>
      <c t="s" s="30" r="D1845">
        <v>136</v>
      </c>
      <c t="s" s="30" r="E1845">
        <v>4</v>
      </c>
      <c t="s" s="30" r="F1845">
        <v>4</v>
      </c>
      <c t="s" s="30" r="G1845">
        <v>265</v>
      </c>
      <c t="str" s="12" r="H1845">
        <f>HYPERLINK("http://sofifa.com/en/fifa13winter/player/146254-rodrigo-bittencourt","Diguinho")</f>
        <v>Diguinho</v>
      </c>
      <c s="30" r="I1845">
        <v>72</v>
      </c>
      <c t="s" s="30" r="J1845">
        <v>154</v>
      </c>
      <c t="s" s="30" r="K1845">
        <v>195</v>
      </c>
      <c t="s" s="30" r="L1845">
        <v>122</v>
      </c>
      <c s="30" r="M1845">
        <v>29</v>
      </c>
      <c s="26" r="N1845">
        <v>2.2</v>
      </c>
      <c s="23" r="O1845">
        <v>0.009</v>
      </c>
      <c s="7" r="P1845"/>
      <c s="7" r="Q1845"/>
      <c s="7" r="R1845">
        <f>IF((P1845&gt;0),O1845,0)</f>
        <v>0</v>
      </c>
      <c t="str" r="S1845">
        <f>CONCATENATE(F1845,E1845)</f>
        <v>NON FTLNON FTL</v>
      </c>
    </row>
    <row r="1846">
      <c t="s" s="7" r="A1846">
        <v>201</v>
      </c>
      <c s="7" r="B1846">
        <v>1873</v>
      </c>
      <c s="30" r="C1846">
        <v>1</v>
      </c>
      <c t="s" s="30" r="D1846">
        <v>136</v>
      </c>
      <c t="s" s="30" r="E1846">
        <v>4</v>
      </c>
      <c t="s" s="30" r="F1846">
        <v>4</v>
      </c>
      <c t="s" s="30" r="G1846">
        <v>265</v>
      </c>
      <c t="str" s="12" r="H1846">
        <f>HYPERLINK("http://sofifa.com/en/fifa13winter/player/144876-ricardo-ferreira-berna","Ricardo Berna")</f>
        <v>Ricardo Berna</v>
      </c>
      <c s="30" r="I1846">
        <v>72</v>
      </c>
      <c t="s" s="30" r="J1846">
        <v>106</v>
      </c>
      <c t="s" s="30" r="K1846">
        <v>134</v>
      </c>
      <c t="s" s="30" r="L1846">
        <v>108</v>
      </c>
      <c s="30" r="M1846">
        <v>33</v>
      </c>
      <c s="26" r="N1846">
        <v>1.5</v>
      </c>
      <c s="23" r="O1846">
        <v>0.011</v>
      </c>
      <c s="7" r="P1846"/>
      <c s="7" r="Q1846"/>
      <c s="7" r="R1846">
        <f>IF((P1846&gt;0),O1846,0)</f>
        <v>0</v>
      </c>
      <c t="str" r="S1846">
        <f>CONCATENATE(F1846,E1846)</f>
        <v>NON FTLNON FTL</v>
      </c>
    </row>
    <row r="1847">
      <c t="s" s="7" r="A1847">
        <v>201</v>
      </c>
      <c s="7" r="B1847">
        <v>1874</v>
      </c>
      <c s="30" r="C1847">
        <v>16</v>
      </c>
      <c t="s" s="30" r="D1847">
        <v>136</v>
      </c>
      <c t="s" s="30" r="E1847">
        <v>4</v>
      </c>
      <c t="s" s="30" r="F1847">
        <v>4</v>
      </c>
      <c t="s" s="30" r="G1847">
        <v>265</v>
      </c>
      <c t="str" s="12" r="H1847">
        <f>HYPERLINK("http://sofifa.com/en/fifa13winter/player/144229-felipe-jorge-loureiro","Felipe")</f>
        <v>Felipe</v>
      </c>
      <c s="30" r="I1847">
        <v>75</v>
      </c>
      <c t="s" s="30" r="J1847">
        <v>162</v>
      </c>
      <c t="s" s="30" r="K1847">
        <v>139</v>
      </c>
      <c t="s" s="30" r="L1847">
        <v>111</v>
      </c>
      <c s="30" r="M1847">
        <v>34</v>
      </c>
      <c s="26" r="N1847">
        <v>3.3</v>
      </c>
      <c s="23" r="O1847">
        <v>0.016</v>
      </c>
      <c s="7" r="P1847"/>
      <c s="7" r="Q1847"/>
      <c s="7" r="R1847">
        <f>IF((P1847&gt;0),O1847,0)</f>
        <v>0</v>
      </c>
      <c t="str" r="S1847">
        <f>CONCATENATE(F1847,E1847)</f>
        <v>NON FTLNON FTL</v>
      </c>
    </row>
    <row r="1848">
      <c t="s" s="7" r="A1848">
        <v>201</v>
      </c>
      <c s="7" r="B1848">
        <v>1875</v>
      </c>
      <c s="30" r="C1848">
        <v>26</v>
      </c>
      <c t="s" s="30" r="D1848">
        <v>136</v>
      </c>
      <c t="s" s="30" r="E1848">
        <v>4</v>
      </c>
      <c t="s" s="30" r="F1848">
        <v>4</v>
      </c>
      <c t="s" s="30" r="G1848">
        <v>265</v>
      </c>
      <c t="str" s="12" r="H1848">
        <f>HYPERLINK("http://sofifa.com/en/fifa13winter/player/149712-fabio-farroco-braga","Fábio")</f>
        <v>Fábio</v>
      </c>
      <c s="30" r="I1848">
        <v>66</v>
      </c>
      <c t="s" s="30" r="J1848">
        <v>154</v>
      </c>
      <c t="s" s="30" r="K1848">
        <v>167</v>
      </c>
      <c t="s" s="30" r="L1848">
        <v>156</v>
      </c>
      <c s="30" r="M1848">
        <v>19</v>
      </c>
      <c s="26" r="N1848">
        <v>1.2</v>
      </c>
      <c s="23" r="O1848">
        <v>0.004</v>
      </c>
      <c s="7" r="P1848"/>
      <c s="7" r="Q1848"/>
      <c s="7" r="R1848">
        <f>IF((P1848&gt;0),O1848,0)</f>
        <v>0</v>
      </c>
      <c t="str" r="S1848">
        <f>CONCATENATE(F1848,E1848)</f>
        <v>NON FTLNON FTL</v>
      </c>
    </row>
    <row r="1849">
      <c t="s" s="7" r="A1849">
        <v>201</v>
      </c>
      <c s="7" r="B1849">
        <v>1876</v>
      </c>
      <c s="30" r="C1849">
        <v>34</v>
      </c>
      <c t="s" s="30" r="D1849">
        <v>147</v>
      </c>
      <c t="s" s="30" r="E1849">
        <v>4</v>
      </c>
      <c t="s" s="30" r="F1849">
        <v>4</v>
      </c>
      <c t="s" s="30" r="G1849">
        <v>265</v>
      </c>
      <c t="str" s="12" r="H1849">
        <f>HYPERLINK("http://sofifa.com/en/fifa13winter/player/149874-wellington-carvalho-de-souza","Wellington Carvalho")</f>
        <v>Wellington Carvalho</v>
      </c>
      <c s="30" r="I1849">
        <v>64</v>
      </c>
      <c t="s" s="30" r="J1849">
        <v>113</v>
      </c>
      <c t="s" s="30" r="K1849">
        <v>132</v>
      </c>
      <c t="s" s="30" r="L1849">
        <v>156</v>
      </c>
      <c s="30" r="M1849">
        <v>19</v>
      </c>
      <c s="26" r="N1849">
        <v>1</v>
      </c>
      <c s="23" r="O1849">
        <v>0.004</v>
      </c>
      <c s="7" r="P1849"/>
      <c s="7" r="Q1849"/>
      <c s="7" r="R1849">
        <f>IF((P1849&gt;0),O1849,0)</f>
        <v>0</v>
      </c>
      <c t="str" r="S1849">
        <f>CONCATENATE(F1849,E1849)</f>
        <v>NON FTLNON FTL</v>
      </c>
    </row>
    <row r="1850">
      <c t="s" s="7" r="A1850">
        <v>201</v>
      </c>
      <c s="7" r="B1850">
        <v>1877</v>
      </c>
      <c s="30" r="C1850">
        <v>21</v>
      </c>
      <c t="s" s="30" r="D1850">
        <v>147</v>
      </c>
      <c t="s" s="30" r="E1850">
        <v>4</v>
      </c>
      <c t="s" s="30" r="F1850">
        <v>4</v>
      </c>
      <c t="s" s="30" r="G1850">
        <v>265</v>
      </c>
      <c t="str" s="12" r="H1850">
        <f>HYPERLINK("http://sofifa.com/en/fifa13winter/player/149847-marcos-junio-lima-dos-santos","Marcos Junior")</f>
        <v>Marcos Junior</v>
      </c>
      <c s="30" r="I1850">
        <v>66</v>
      </c>
      <c t="s" s="30" r="J1850">
        <v>171</v>
      </c>
      <c t="s" s="30" r="K1850">
        <v>231</v>
      </c>
      <c t="s" s="30" r="L1850">
        <v>168</v>
      </c>
      <c s="30" r="M1850">
        <v>19</v>
      </c>
      <c s="26" r="N1850">
        <v>1.8</v>
      </c>
      <c s="23" r="O1850">
        <v>0.004</v>
      </c>
      <c s="7" r="P1850"/>
      <c s="7" r="Q1850"/>
      <c s="7" r="R1850">
        <f>IF((P1850&gt;0),O1850,0)</f>
        <v>0</v>
      </c>
      <c t="str" r="S1850">
        <f>CONCATENATE(F1850,E1850)</f>
        <v>NON FTLNON FTL</v>
      </c>
    </row>
    <row r="1851">
      <c t="s" s="7" r="A1851">
        <v>201</v>
      </c>
      <c s="7" r="B1851">
        <v>1878</v>
      </c>
      <c s="30" r="C1851">
        <v>14</v>
      </c>
      <c t="s" s="30" r="D1851">
        <v>147</v>
      </c>
      <c t="s" s="30" r="E1851">
        <v>4</v>
      </c>
      <c t="s" s="30" r="F1851">
        <v>4</v>
      </c>
      <c t="s" s="30" r="G1851">
        <v>265</v>
      </c>
      <c t="str" s="12" r="H1851">
        <f>HYPERLINK("http://sofifa.com/en/fifa13winter/player/149593-elivelton-viana-dos-santos","Elivelton")</f>
        <v>Elivelton</v>
      </c>
      <c s="30" r="I1851">
        <v>67</v>
      </c>
      <c t="s" s="30" r="J1851">
        <v>113</v>
      </c>
      <c t="s" s="30" r="K1851">
        <v>145</v>
      </c>
      <c t="s" s="30" r="L1851">
        <v>183</v>
      </c>
      <c s="30" r="M1851">
        <v>20</v>
      </c>
      <c s="26" r="N1851">
        <v>1.5</v>
      </c>
      <c s="23" r="O1851">
        <v>0.005</v>
      </c>
      <c s="7" r="P1851"/>
      <c s="7" r="Q1851"/>
      <c s="7" r="R1851">
        <f>IF((P1851&gt;0),O1851,0)</f>
        <v>0</v>
      </c>
      <c t="str" r="S1851">
        <f>CONCATENATE(F1851,E1851)</f>
        <v>NON FTLNON FTL</v>
      </c>
    </row>
    <row r="1852">
      <c t="s" s="7" r="A1852">
        <v>201</v>
      </c>
      <c s="7" r="B1852">
        <v>1879</v>
      </c>
      <c s="30" r="C1852">
        <v>24</v>
      </c>
      <c t="s" s="30" r="D1852">
        <v>147</v>
      </c>
      <c t="s" s="30" r="E1852">
        <v>4</v>
      </c>
      <c t="s" s="30" r="F1852">
        <v>4</v>
      </c>
      <c t="s" s="30" r="G1852">
        <v>265</v>
      </c>
      <c t="str" s="12" r="H1852">
        <f>HYPERLINK("http://sofifa.com/en/fifa13winter/player/148538-klever-rodrigo-gomes-rufino","Klever")</f>
        <v>Klever</v>
      </c>
      <c s="30" r="I1852">
        <v>63</v>
      </c>
      <c t="s" s="30" r="J1852">
        <v>106</v>
      </c>
      <c t="s" s="30" r="K1852">
        <v>134</v>
      </c>
      <c t="s" s="30" r="L1852">
        <v>193</v>
      </c>
      <c s="30" r="M1852">
        <v>23</v>
      </c>
      <c s="26" r="N1852">
        <v>0.7</v>
      </c>
      <c s="23" r="O1852">
        <v>0.004</v>
      </c>
      <c s="7" r="P1852"/>
      <c s="7" r="Q1852"/>
      <c s="7" r="R1852">
        <f>IF((P1852&gt;0),O1852,0)</f>
        <v>0</v>
      </c>
      <c t="str" r="S1852">
        <f>CONCATENATE(F1852,E1852)</f>
        <v>NON FTLNON FTL</v>
      </c>
    </row>
    <row r="1853">
      <c t="s" s="7" r="A1853">
        <v>201</v>
      </c>
      <c s="7" r="B1853">
        <v>1880</v>
      </c>
      <c s="30" r="C1853">
        <v>27</v>
      </c>
      <c t="s" s="30" r="D1853">
        <v>147</v>
      </c>
      <c t="s" s="30" r="E1853">
        <v>4</v>
      </c>
      <c t="s" s="30" r="F1853">
        <v>4</v>
      </c>
      <c t="s" s="30" r="G1853">
        <v>265</v>
      </c>
      <c t="str" s="12" r="H1853">
        <f>HYPERLINK("http://sofifa.com/en/fifa13winter/player/148008-fernando-paixao-da-silva","Fernando Bob")</f>
        <v>Fernando Bob</v>
      </c>
      <c s="30" r="I1853">
        <v>68</v>
      </c>
      <c t="s" s="30" r="J1853">
        <v>154</v>
      </c>
      <c t="s" s="30" r="K1853">
        <v>114</v>
      </c>
      <c t="s" s="30" r="L1853">
        <v>161</v>
      </c>
      <c s="30" r="M1853">
        <v>24</v>
      </c>
      <c s="26" r="N1853">
        <v>1.5</v>
      </c>
      <c s="23" r="O1853">
        <v>0.006</v>
      </c>
      <c s="7" r="P1853"/>
      <c s="7" r="Q1853"/>
      <c s="7" r="R1853">
        <f>IF((P1853&gt;0),O1853,0)</f>
        <v>0</v>
      </c>
      <c t="str" r="S1853">
        <f>CONCATENATE(F1853,E1853)</f>
        <v>NON FTLNON FTL</v>
      </c>
    </row>
    <row r="1854">
      <c t="s" s="7" r="A1854">
        <v>201</v>
      </c>
      <c s="7" r="B1854">
        <v>1881</v>
      </c>
      <c s="30" r="C1854">
        <v>20</v>
      </c>
      <c t="s" s="30" r="D1854">
        <v>147</v>
      </c>
      <c t="s" s="30" r="E1854">
        <v>4</v>
      </c>
      <c t="s" s="30" r="F1854">
        <v>4</v>
      </c>
      <c t="s" s="30" r="G1854">
        <v>265</v>
      </c>
      <c t="str" s="12" r="H1854">
        <f>HYPERLINK("http://sofifa.com/en/fifa13winter/player/144223-anderson-luis-de-souza","Deco")</f>
        <v>Deco</v>
      </c>
      <c s="30" r="I1854">
        <v>79</v>
      </c>
      <c t="s" s="30" r="J1854">
        <v>162</v>
      </c>
      <c t="s" s="30" r="K1854">
        <v>182</v>
      </c>
      <c t="s" s="30" r="L1854">
        <v>119</v>
      </c>
      <c s="30" r="M1854">
        <v>35</v>
      </c>
      <c s="26" r="N1854">
        <v>5.3</v>
      </c>
      <c s="23" r="O1854">
        <v>0.028</v>
      </c>
      <c s="7" r="P1854"/>
      <c s="7" r="Q1854"/>
      <c s="7" r="R1854">
        <f>IF((P1854&gt;0),O1854,0)</f>
        <v>0</v>
      </c>
      <c t="str" r="S1854">
        <f>CONCATENATE(F1854,E1854)</f>
        <v>NON FTLNON FTL</v>
      </c>
    </row>
    <row r="1855">
      <c t="s" s="7" r="A1855">
        <v>201</v>
      </c>
      <c s="7" r="B1855">
        <v>1882</v>
      </c>
      <c s="30" r="C1855">
        <v>37</v>
      </c>
      <c t="s" s="30" r="D1855">
        <v>147</v>
      </c>
      <c t="s" s="30" r="E1855">
        <v>4</v>
      </c>
      <c t="s" s="30" r="F1855">
        <v>4</v>
      </c>
      <c t="s" s="30" r="G1855">
        <v>265</v>
      </c>
      <c t="str" s="12" r="H1855">
        <f>HYPERLINK("http://sofifa.com/en/fifa13winter/player/150045-rafael-gimenes-da-silva","Rafinha")</f>
        <v>Rafinha</v>
      </c>
      <c s="30" r="I1855">
        <v>58</v>
      </c>
      <c t="s" s="30" r="J1855">
        <v>124</v>
      </c>
      <c t="s" s="30" r="K1855">
        <v>159</v>
      </c>
      <c t="s" s="30" r="L1855">
        <v>142</v>
      </c>
      <c s="30" r="M1855">
        <v>19</v>
      </c>
      <c s="26" r="N1855">
        <v>0.3</v>
      </c>
      <c s="23" r="O1855">
        <v>0.002</v>
      </c>
      <c s="7" r="P1855"/>
      <c s="7" r="Q1855"/>
      <c s="7" r="R1855">
        <f>IF((P1855&gt;0),O1855,0)</f>
        <v>0</v>
      </c>
      <c t="str" r="S1855">
        <f>CONCATENATE(F1855,E1855)</f>
        <v>NON FTLNON FTL</v>
      </c>
    </row>
    <row r="1856">
      <c t="s" s="7" r="A1856">
        <v>201</v>
      </c>
      <c s="7" r="B1856">
        <v>1883</v>
      </c>
      <c s="30" r="C1856">
        <v>1</v>
      </c>
      <c t="s" s="30" r="D1856">
        <v>106</v>
      </c>
      <c t="s" s="30" r="E1856">
        <v>4</v>
      </c>
      <c t="s" s="30" r="F1856">
        <v>4</v>
      </c>
      <c t="s" s="30" r="G1856">
        <v>266</v>
      </c>
      <c t="str" s="12" r="H1856">
        <f>HYPERLINK("http://sofifa.com/en/fifa13winter/player/142545-rogerio-mucke-ceni","Rogério Ceni")</f>
        <v>Rogério Ceni</v>
      </c>
      <c s="30" r="I1856">
        <v>77</v>
      </c>
      <c t="s" s="30" r="J1856">
        <v>106</v>
      </c>
      <c t="s" s="30" r="K1856">
        <v>134</v>
      </c>
      <c t="s" s="30" r="L1856">
        <v>179</v>
      </c>
      <c s="30" r="M1856">
        <v>39</v>
      </c>
      <c s="26" r="N1856">
        <v>1.9</v>
      </c>
      <c s="23" r="O1856">
        <v>0.021</v>
      </c>
      <c s="7" r="P1856"/>
      <c s="7" r="Q1856"/>
      <c s="7" r="R1856">
        <f>IF((P1856&gt;0),O1856,0)</f>
        <v>0</v>
      </c>
      <c t="str" r="S1856">
        <f>CONCATENATE(F1856,E1856)</f>
        <v>NON FTLNON FTL</v>
      </c>
    </row>
    <row r="1857">
      <c t="s" s="7" r="A1857">
        <v>201</v>
      </c>
      <c s="7" r="B1857">
        <v>1884</v>
      </c>
      <c s="30" r="C1857">
        <v>23</v>
      </c>
      <c t="s" s="30" r="D1857">
        <v>109</v>
      </c>
      <c t="s" s="30" r="E1857">
        <v>4</v>
      </c>
      <c t="s" s="30" r="F1857">
        <v>4</v>
      </c>
      <c t="s" s="30" r="G1857">
        <v>266</v>
      </c>
      <c t="str" s="12" r="H1857">
        <f>HYPERLINK("http://sofifa.com/en/fifa13winter/player/148950-douglas-pereira-dos-santos","Douglas")</f>
        <v>Douglas</v>
      </c>
      <c s="30" r="I1857">
        <v>70</v>
      </c>
      <c t="s" s="30" r="J1857">
        <v>109</v>
      </c>
      <c t="s" s="30" r="K1857">
        <v>195</v>
      </c>
      <c t="s" s="30" r="L1857">
        <v>168</v>
      </c>
      <c s="30" r="M1857">
        <v>22</v>
      </c>
      <c s="26" r="N1857">
        <v>1.8</v>
      </c>
      <c s="23" r="O1857">
        <v>0.006</v>
      </c>
      <c s="7" r="P1857"/>
      <c s="7" r="Q1857"/>
      <c s="7" r="R1857">
        <f>IF((P1857&gt;0),O1857,0)</f>
        <v>0</v>
      </c>
      <c t="str" r="S1857">
        <f>CONCATENATE(F1857,E1857)</f>
        <v>NON FTLNON FTL</v>
      </c>
    </row>
    <row r="1858">
      <c t="s" s="7" r="A1858">
        <v>201</v>
      </c>
      <c s="7" r="B1858">
        <v>1885</v>
      </c>
      <c s="30" r="C1858">
        <v>3</v>
      </c>
      <c t="s" s="30" r="D1858">
        <v>112</v>
      </c>
      <c t="s" s="30" r="E1858">
        <v>4</v>
      </c>
      <c t="s" s="30" r="F1858">
        <v>4</v>
      </c>
      <c t="s" s="30" r="G1858">
        <v>266</v>
      </c>
      <c t="str" s="12" r="H1858">
        <f>HYPERLINK("http://sofifa.com/en/fifa13winter/player/144477-lucimar-da-silva-ferreira","Lúcio")</f>
        <v>Lúcio</v>
      </c>
      <c s="30" r="I1858">
        <v>80</v>
      </c>
      <c t="s" s="30" r="J1858">
        <v>113</v>
      </c>
      <c t="s" s="30" r="K1858">
        <v>155</v>
      </c>
      <c t="s" s="30" r="L1858">
        <v>193</v>
      </c>
      <c s="30" r="M1858">
        <v>34</v>
      </c>
      <c s="26" r="N1858">
        <v>6.2</v>
      </c>
      <c s="23" r="O1858">
        <v>0.038</v>
      </c>
      <c s="7" r="P1858"/>
      <c s="7" r="Q1858"/>
      <c s="7" r="R1858">
        <f>IF((P1858&gt;0),O1858,0)</f>
        <v>0</v>
      </c>
      <c t="str" r="S1858">
        <f>CONCATENATE(F1858,E1858)</f>
        <v>NON FTLNON FTL</v>
      </c>
    </row>
    <row r="1859">
      <c t="s" s="7" r="A1859">
        <v>201</v>
      </c>
      <c s="7" r="B1859">
        <v>1886</v>
      </c>
      <c s="30" r="C1859">
        <v>14</v>
      </c>
      <c t="s" s="30" r="D1859">
        <v>116</v>
      </c>
      <c t="s" s="30" r="E1859">
        <v>4</v>
      </c>
      <c t="s" s="30" r="F1859">
        <v>4</v>
      </c>
      <c t="s" s="30" r="G1859">
        <v>266</v>
      </c>
      <c t="str" s="12" r="H1859">
        <f>HYPERLINK("http://sofifa.com/en/fifa13winter/player/147400-edson-jose-da-silva","Édson Silva")</f>
        <v>Édson Silva</v>
      </c>
      <c s="30" r="I1859">
        <v>70</v>
      </c>
      <c t="s" s="30" r="J1859">
        <v>113</v>
      </c>
      <c t="s" s="30" r="K1859">
        <v>155</v>
      </c>
      <c t="s" s="30" r="L1859">
        <v>135</v>
      </c>
      <c s="30" r="M1859">
        <v>26</v>
      </c>
      <c s="26" r="N1859">
        <v>1.9</v>
      </c>
      <c s="23" r="O1859">
        <v>0.007</v>
      </c>
      <c s="7" r="P1859"/>
      <c s="7" r="Q1859"/>
      <c s="7" r="R1859">
        <f>IF((P1859&gt;0),O1859,0)</f>
        <v>0</v>
      </c>
      <c t="str" r="S1859">
        <f>CONCATENATE(F1859,E1859)</f>
        <v>NON FTLNON FTL</v>
      </c>
    </row>
    <row r="1860">
      <c t="s" s="7" r="A1860">
        <v>201</v>
      </c>
      <c s="7" r="B1860">
        <v>1887</v>
      </c>
      <c s="30" r="C1860">
        <v>16</v>
      </c>
      <c t="s" s="30" r="D1860">
        <v>117</v>
      </c>
      <c t="s" s="30" r="E1860">
        <v>4</v>
      </c>
      <c t="s" s="30" r="F1860">
        <v>4</v>
      </c>
      <c t="s" s="30" r="G1860">
        <v>266</v>
      </c>
      <c t="str" s="12" r="H1860">
        <f>HYPERLINK("http://sofifa.com/en/fifa13winter/player/148450-thiago-carleto-alves","Thiago Carleto")</f>
        <v>Thiago Carleto</v>
      </c>
      <c s="30" r="I1860">
        <v>69</v>
      </c>
      <c t="s" s="30" r="J1860">
        <v>117</v>
      </c>
      <c t="s" s="30" r="K1860">
        <v>118</v>
      </c>
      <c t="s" s="30" r="L1860">
        <v>138</v>
      </c>
      <c s="30" r="M1860">
        <v>23</v>
      </c>
      <c s="26" r="N1860">
        <v>1.7</v>
      </c>
      <c s="23" r="O1860">
        <v>0.006</v>
      </c>
      <c s="7" r="P1860"/>
      <c s="7" r="Q1860"/>
      <c s="7" r="R1860">
        <f>IF((P1860&gt;0),O1860,0)</f>
        <v>0</v>
      </c>
      <c t="str" r="S1860">
        <f>CONCATENATE(F1860,E1860)</f>
        <v>NON FTLNON FTL</v>
      </c>
    </row>
    <row r="1861">
      <c t="s" s="7" r="A1861">
        <v>201</v>
      </c>
      <c s="7" r="B1861">
        <v>1888</v>
      </c>
      <c s="30" r="C1861">
        <v>7</v>
      </c>
      <c t="s" s="30" r="D1861">
        <v>123</v>
      </c>
      <c t="s" s="30" r="E1861">
        <v>4</v>
      </c>
      <c t="s" s="30" r="F1861">
        <v>4</v>
      </c>
      <c t="s" s="30" r="G1861">
        <v>266</v>
      </c>
      <c t="str" s="12" r="H1861">
        <f>HYPERLINK("http://sofifa.com/en/fifa13winter/player/150057-rodrigo-caio-coquette-russo","Rodrigo Caio")</f>
        <v>Rodrigo Caio</v>
      </c>
      <c s="30" r="I1861">
        <v>69</v>
      </c>
      <c t="s" s="30" r="J1861">
        <v>154</v>
      </c>
      <c t="s" s="30" r="K1861">
        <v>143</v>
      </c>
      <c t="s" s="30" r="L1861">
        <v>122</v>
      </c>
      <c s="30" r="M1861">
        <v>19</v>
      </c>
      <c s="26" r="N1861">
        <v>1.9</v>
      </c>
      <c s="23" r="O1861">
        <v>0.005</v>
      </c>
      <c s="7" r="P1861"/>
      <c s="7" r="Q1861"/>
      <c s="7" r="R1861">
        <f>IF((P1861&gt;0),O1861,0)</f>
        <v>0</v>
      </c>
      <c t="str" r="S1861">
        <f>CONCATENATE(F1861,E1861)</f>
        <v>NON FTLNON FTL</v>
      </c>
    </row>
    <row r="1862">
      <c t="s" s="7" r="A1862">
        <v>201</v>
      </c>
      <c s="7" r="B1862">
        <v>1889</v>
      </c>
      <c s="30" r="C1862">
        <v>15</v>
      </c>
      <c t="s" s="30" r="D1862">
        <v>126</v>
      </c>
      <c t="s" s="30" r="E1862">
        <v>4</v>
      </c>
      <c t="s" s="30" r="F1862">
        <v>4</v>
      </c>
      <c t="s" s="30" r="G1862">
        <v>266</v>
      </c>
      <c t="str" s="12" r="H1862">
        <f>HYPERLINK("http://sofifa.com/en/fifa13winter/player/148048-denilson-pereira-neves","Denilson")</f>
        <v>Denilson</v>
      </c>
      <c s="30" r="I1862">
        <v>74</v>
      </c>
      <c t="s" s="30" r="J1862">
        <v>154</v>
      </c>
      <c t="s" s="30" r="K1862">
        <v>118</v>
      </c>
      <c t="s" s="30" r="L1862">
        <v>115</v>
      </c>
      <c s="30" r="M1862">
        <v>24</v>
      </c>
      <c s="26" r="N1862">
        <v>3.2</v>
      </c>
      <c s="23" r="O1862">
        <v>0.011</v>
      </c>
      <c s="7" r="P1862"/>
      <c s="7" r="Q1862"/>
      <c s="7" r="R1862">
        <f>IF((P1862&gt;0),O1862,0)</f>
        <v>0</v>
      </c>
      <c t="str" r="S1862">
        <f>CONCATENATE(F1862,E1862)</f>
        <v>NON FTLNON FTL</v>
      </c>
    </row>
    <row r="1863">
      <c t="s" s="7" r="A1863">
        <v>201</v>
      </c>
      <c s="7" r="B1863">
        <v>1890</v>
      </c>
      <c s="30" r="C1863">
        <v>10</v>
      </c>
      <c t="s" s="30" r="D1863">
        <v>162</v>
      </c>
      <c t="s" s="30" r="E1863">
        <v>4</v>
      </c>
      <c t="s" s="30" r="F1863">
        <v>4</v>
      </c>
      <c t="s" s="30" r="G1863">
        <v>266</v>
      </c>
      <c t="str" s="12" r="H1863">
        <f>HYPERLINK("http://sofifa.com/en/fifa13winter/player/146453-jadson-rodrigues-da-silva","Jadson")</f>
        <v>Jadson</v>
      </c>
      <c s="30" r="I1863">
        <v>79</v>
      </c>
      <c t="s" s="30" r="J1863">
        <v>162</v>
      </c>
      <c t="s" s="30" r="K1863">
        <v>148</v>
      </c>
      <c t="s" s="30" r="L1863">
        <v>163</v>
      </c>
      <c s="30" r="M1863">
        <v>28</v>
      </c>
      <c s="26" r="N1863">
        <v>7.8</v>
      </c>
      <c s="23" r="O1863">
        <v>0.023</v>
      </c>
      <c s="7" r="P1863"/>
      <c s="7" r="Q1863"/>
      <c s="7" r="R1863">
        <f>IF((P1863&gt;0),O1863,0)</f>
        <v>0</v>
      </c>
      <c t="str" r="S1863">
        <f>CONCATENATE(F1863,E1863)</f>
        <v>NON FTLNON FTL</v>
      </c>
    </row>
    <row r="1864">
      <c t="s" s="7" r="A1864">
        <v>201</v>
      </c>
      <c s="7" r="B1864">
        <v>1891</v>
      </c>
      <c s="30" r="C1864">
        <v>17</v>
      </c>
      <c t="s" s="30" r="D1864">
        <v>157</v>
      </c>
      <c t="s" s="30" r="E1864">
        <v>4</v>
      </c>
      <c t="s" s="30" r="F1864">
        <v>4</v>
      </c>
      <c t="s" s="30" r="G1864">
        <v>266</v>
      </c>
      <c t="str" s="12" r="H1864">
        <f>HYPERLINK("http://sofifa.com/en/fifa13winter/player/147737-osvaldo-lourenco-filho","Osvaldo")</f>
        <v>Osvaldo</v>
      </c>
      <c s="30" r="I1864">
        <v>78</v>
      </c>
      <c t="s" s="30" r="J1864">
        <v>170</v>
      </c>
      <c t="s" s="30" r="K1864">
        <v>121</v>
      </c>
      <c t="s" s="30" r="L1864">
        <v>115</v>
      </c>
      <c s="30" r="M1864">
        <v>25</v>
      </c>
      <c s="26" r="N1864">
        <v>8.2</v>
      </c>
      <c s="23" r="O1864">
        <v>0.019</v>
      </c>
      <c s="7" r="P1864"/>
      <c s="7" r="Q1864"/>
      <c s="7" r="R1864">
        <f>IF((P1864&gt;0),O1864,0)</f>
        <v>0</v>
      </c>
      <c t="str" r="S1864">
        <f>CONCATENATE(F1864,E1864)</f>
        <v>NON FTLNON FTL</v>
      </c>
    </row>
    <row r="1865">
      <c t="s" s="7" r="A1865">
        <v>201</v>
      </c>
      <c s="7" r="B1865">
        <v>1892</v>
      </c>
      <c s="30" r="C1865">
        <v>9</v>
      </c>
      <c t="s" s="30" r="D1865">
        <v>129</v>
      </c>
      <c t="s" s="30" r="E1865">
        <v>4</v>
      </c>
      <c t="s" s="30" r="F1865">
        <v>4</v>
      </c>
      <c t="s" s="30" r="G1865">
        <v>266</v>
      </c>
      <c t="str" s="12" r="H1865">
        <f>HYPERLINK("http://sofifa.com/en/fifa13winter/player/145392-luis-fabiano-clemente","Luís Fabiano")</f>
        <v>Luís Fabiano</v>
      </c>
      <c s="30" r="I1865">
        <v>82</v>
      </c>
      <c t="s" s="30" r="J1865">
        <v>129</v>
      </c>
      <c t="s" s="30" r="K1865">
        <v>132</v>
      </c>
      <c t="s" s="30" r="L1865">
        <v>179</v>
      </c>
      <c s="30" r="M1865">
        <v>31</v>
      </c>
      <c s="26" r="N1865">
        <v>13.7</v>
      </c>
      <c s="23" r="O1865">
        <v>0.062</v>
      </c>
      <c s="7" r="P1865"/>
      <c s="7" r="Q1865"/>
      <c s="7" r="R1865">
        <f>IF((P1865&gt;0),O1865,0)</f>
        <v>0</v>
      </c>
      <c t="str" r="S1865">
        <f>CONCATENATE(F1865,E1865)</f>
        <v>NON FTLNON FTL</v>
      </c>
    </row>
    <row r="1866">
      <c t="s" s="7" r="A1866">
        <v>201</v>
      </c>
      <c s="7" r="B1866">
        <v>1893</v>
      </c>
      <c s="30" r="C1866">
        <v>22</v>
      </c>
      <c t="s" s="30" r="D1866">
        <v>170</v>
      </c>
      <c t="s" s="30" r="E1866">
        <v>4</v>
      </c>
      <c t="s" s="30" r="F1866">
        <v>4</v>
      </c>
      <c t="s" s="30" r="G1866">
        <v>266</v>
      </c>
      <c t="str" s="12" r="H1866">
        <f>HYPERLINK("http://sofifa.com/en/fifa13winter/player/148914-silvio-jose-cardoso-r-jr","Silvinho")</f>
        <v>Silvinho</v>
      </c>
      <c s="30" r="I1866">
        <v>66</v>
      </c>
      <c t="s" s="30" r="J1866">
        <v>157</v>
      </c>
      <c t="s" s="30" r="K1866">
        <v>139</v>
      </c>
      <c t="s" s="30" r="L1866">
        <v>146</v>
      </c>
      <c s="30" r="M1866">
        <v>22</v>
      </c>
      <c s="26" r="N1866">
        <v>1.4</v>
      </c>
      <c s="23" r="O1866">
        <v>0.005</v>
      </c>
      <c s="7" r="P1866"/>
      <c s="7" r="Q1866"/>
      <c s="7" r="R1866">
        <f>IF((P1866&gt;0),O1866,0)</f>
        <v>0</v>
      </c>
      <c t="str" r="S1866">
        <f>CONCATENATE(F1866,E1866)</f>
        <v>NON FTLNON FTL</v>
      </c>
    </row>
    <row r="1867">
      <c t="s" s="7" r="A1867">
        <v>201</v>
      </c>
      <c s="7" r="B1867">
        <v>1894</v>
      </c>
      <c s="30" r="C1867">
        <v>19</v>
      </c>
      <c t="s" s="30" r="D1867">
        <v>136</v>
      </c>
      <c t="s" s="30" r="E1867">
        <v>4</v>
      </c>
      <c t="s" s="30" r="F1867">
        <v>4</v>
      </c>
      <c t="s" s="30" r="G1867">
        <v>266</v>
      </c>
      <c t="str" s="12" r="H1867">
        <f>HYPERLINK("http://sofifa.com/en/fifa13winter/player/148172-aloisio-dos-s-goncalves","Aloísio")</f>
        <v>Aloísio</v>
      </c>
      <c s="30" r="I1867">
        <v>74</v>
      </c>
      <c t="s" s="30" r="J1867">
        <v>129</v>
      </c>
      <c t="s" s="30" r="K1867">
        <v>172</v>
      </c>
      <c t="s" s="30" r="L1867">
        <v>161</v>
      </c>
      <c s="30" r="M1867">
        <v>24</v>
      </c>
      <c s="26" r="N1867">
        <v>4.1</v>
      </c>
      <c s="23" r="O1867">
        <v>0.011</v>
      </c>
      <c s="7" r="P1867"/>
      <c s="7" r="Q1867"/>
      <c s="7" r="R1867">
        <f>IF((P1867&gt;0),O1867,0)</f>
        <v>0</v>
      </c>
      <c t="str" r="S1867">
        <f>CONCATENATE(F1867,E1867)</f>
        <v>NON FTLNON FTL</v>
      </c>
    </row>
    <row r="1868">
      <c t="s" s="7" r="A1868">
        <v>201</v>
      </c>
      <c s="7" r="B1868">
        <v>1895</v>
      </c>
      <c s="30" r="C1868">
        <v>24</v>
      </c>
      <c t="s" s="30" r="D1868">
        <v>136</v>
      </c>
      <c t="s" s="30" r="E1868">
        <v>4</v>
      </c>
      <c t="s" s="30" r="F1868">
        <v>4</v>
      </c>
      <c t="s" s="30" r="G1868">
        <v>266</v>
      </c>
      <c t="str" s="12" r="H1868">
        <f>HYPERLINK("http://sofifa.com/en/fifa13winter/player/148997-leonardo-da-silva-vieira","Léo")</f>
        <v>Léo</v>
      </c>
      <c s="30" r="I1868">
        <v>63</v>
      </c>
      <c t="s" s="30" r="J1868">
        <v>106</v>
      </c>
      <c t="s" s="30" r="K1868">
        <v>107</v>
      </c>
      <c t="s" s="30" r="L1868">
        <v>138</v>
      </c>
      <c s="30" r="M1868">
        <v>21</v>
      </c>
      <c s="26" r="N1868">
        <v>0.7</v>
      </c>
      <c s="23" r="O1868">
        <v>0.004</v>
      </c>
      <c s="7" r="P1868"/>
      <c s="7" r="Q1868"/>
      <c s="7" r="R1868">
        <f>IF((P1868&gt;0),O1868,0)</f>
        <v>0</v>
      </c>
      <c t="str" r="S1868">
        <f>CONCATENATE(F1868,E1868)</f>
        <v>NON FTLNON FTL</v>
      </c>
    </row>
    <row r="1869">
      <c t="s" s="7" r="A1869">
        <v>201</v>
      </c>
      <c s="7" r="B1869">
        <v>1896</v>
      </c>
      <c s="30" r="C1869">
        <v>99</v>
      </c>
      <c t="s" s="30" r="D1869">
        <v>136</v>
      </c>
      <c t="s" s="30" r="E1869">
        <v>4</v>
      </c>
      <c t="s" s="30" r="F1869">
        <v>4</v>
      </c>
      <c t="s" s="30" r="G1869">
        <v>266</v>
      </c>
      <c t="str" s="12" r="H1869">
        <f>HYPERLINK("http://sofifa.com/en/fifa13winter/player/149560-guilherme-ferreira-pinto","Negueba")</f>
        <v>Negueba</v>
      </c>
      <c s="30" r="I1869">
        <v>73</v>
      </c>
      <c t="s" s="30" r="J1869">
        <v>157</v>
      </c>
      <c t="s" s="30" r="K1869">
        <v>118</v>
      </c>
      <c t="s" s="30" r="L1869">
        <v>122</v>
      </c>
      <c s="30" r="M1869">
        <v>20</v>
      </c>
      <c s="26" r="N1869">
        <v>3.7</v>
      </c>
      <c s="23" r="O1869">
        <v>0.008</v>
      </c>
      <c s="7" r="P1869"/>
      <c s="7" r="Q1869"/>
      <c s="7" r="R1869">
        <f>IF((P1869&gt;0),O1869,0)</f>
        <v>0</v>
      </c>
      <c t="str" r="S1869">
        <f>CONCATENATE(F1869,E1869)</f>
        <v>NON FTLNON FTL</v>
      </c>
    </row>
    <row r="1870">
      <c t="s" s="7" r="A1870">
        <v>201</v>
      </c>
      <c s="7" r="B1870">
        <v>1897</v>
      </c>
      <c s="30" r="C1870">
        <v>13</v>
      </c>
      <c t="s" s="30" r="D1870">
        <v>136</v>
      </c>
      <c t="s" s="30" r="E1870">
        <v>4</v>
      </c>
      <c t="s" s="30" r="F1870">
        <v>4</v>
      </c>
      <c t="s" s="30" r="G1870">
        <v>266</v>
      </c>
      <c t="str" s="12" r="H1870">
        <f>HYPERLINK("http://sofifa.com/en/fifa13winter/player/148230-jonathan-doin","Paulo Miranda")</f>
        <v>Paulo Miranda</v>
      </c>
      <c s="30" r="I1870">
        <v>68</v>
      </c>
      <c t="s" s="30" r="J1870">
        <v>113</v>
      </c>
      <c t="s" s="30" r="K1870">
        <v>114</v>
      </c>
      <c t="s" s="30" r="L1870">
        <v>138</v>
      </c>
      <c s="30" r="M1870">
        <v>24</v>
      </c>
      <c s="26" r="N1870">
        <v>1.6</v>
      </c>
      <c s="23" r="O1870">
        <v>0.006</v>
      </c>
      <c s="7" r="P1870"/>
      <c s="7" r="Q1870"/>
      <c s="7" r="R1870">
        <f>IF((P1870&gt;0),O1870,0)</f>
        <v>0</v>
      </c>
      <c t="str" r="S1870">
        <f>CONCATENATE(F1870,E1870)</f>
        <v>NON FTLNON FTL</v>
      </c>
    </row>
    <row r="1871">
      <c t="s" s="7" r="A1871">
        <v>201</v>
      </c>
      <c s="7" r="B1871">
        <v>1898</v>
      </c>
      <c s="30" r="C1871">
        <v>5</v>
      </c>
      <c t="s" s="30" r="D1871">
        <v>136</v>
      </c>
      <c t="s" s="30" r="E1871">
        <v>4</v>
      </c>
      <c t="s" s="30" r="F1871">
        <v>4</v>
      </c>
      <c t="s" s="30" r="G1871">
        <v>266</v>
      </c>
      <c t="str" s="12" r="H1871">
        <f>HYPERLINK("http://sofifa.com/en/fifa13winter/player/149125-wellington-aparecido-martins","Wellington")</f>
        <v>Wellington</v>
      </c>
      <c s="30" r="I1871">
        <v>74</v>
      </c>
      <c t="s" s="30" r="J1871">
        <v>124</v>
      </c>
      <c t="s" s="30" r="K1871">
        <v>130</v>
      </c>
      <c t="s" s="30" r="L1871">
        <v>122</v>
      </c>
      <c s="30" r="M1871">
        <v>21</v>
      </c>
      <c s="26" r="N1871">
        <v>3.7</v>
      </c>
      <c s="23" r="O1871">
        <v>0.009</v>
      </c>
      <c s="7" r="P1871"/>
      <c s="7" r="Q1871"/>
      <c s="7" r="R1871">
        <f>IF((P1871&gt;0),O1871,0)</f>
        <v>0</v>
      </c>
      <c t="str" r="S1871">
        <f>CONCATENATE(F1871,E1871)</f>
        <v>NON FTLNON FTL</v>
      </c>
    </row>
    <row r="1872">
      <c t="s" s="7" r="A1872">
        <v>201</v>
      </c>
      <c s="7" r="B1872">
        <v>1899</v>
      </c>
      <c s="30" r="C1872">
        <v>8</v>
      </c>
      <c t="s" s="30" r="D1872">
        <v>136</v>
      </c>
      <c t="s" s="30" r="E1872">
        <v>4</v>
      </c>
      <c t="s" s="30" r="F1872">
        <v>4</v>
      </c>
      <c t="s" s="30" r="G1872">
        <v>266</v>
      </c>
      <c t="str" s="12" r="H1872">
        <f>HYPERLINK("http://sofifa.com/en/fifa13winter/player/148652-paulo-henrique-chagas-de-lima","Ganso")</f>
        <v>Ganso</v>
      </c>
      <c s="30" r="I1872">
        <v>79</v>
      </c>
      <c t="s" s="30" r="J1872">
        <v>162</v>
      </c>
      <c t="s" s="30" r="K1872">
        <v>143</v>
      </c>
      <c t="s" s="30" r="L1872">
        <v>161</v>
      </c>
      <c s="30" r="M1872">
        <v>22</v>
      </c>
      <c s="26" r="N1872">
        <v>8.9</v>
      </c>
      <c s="23" r="O1872">
        <v>0.02</v>
      </c>
      <c s="7" r="P1872"/>
      <c s="7" r="Q1872"/>
      <c s="7" r="R1872">
        <f>IF((P1872&gt;0),O1872,0)</f>
        <v>0</v>
      </c>
      <c t="str" r="S1872">
        <f>CONCATENATE(F1872,E1872)</f>
        <v>NON FTLNON FTL</v>
      </c>
    </row>
    <row r="1873">
      <c t="s" s="7" r="A1873">
        <v>201</v>
      </c>
      <c s="7" r="B1873">
        <v>1900</v>
      </c>
      <c s="30" r="C1873">
        <v>25</v>
      </c>
      <c t="s" s="30" r="D1873">
        <v>136</v>
      </c>
      <c t="s" s="30" r="E1873">
        <v>4</v>
      </c>
      <c t="s" s="30" r="F1873">
        <v>4</v>
      </c>
      <c t="s" s="30" r="G1873">
        <v>266</v>
      </c>
      <c t="str" s="12" r="H1873">
        <f>HYPERLINK("http://sofifa.com/en/fifa13winter/player/145996-fabricio-de-souza","Fabrício")</f>
        <v>Fabrício</v>
      </c>
      <c s="30" r="I1873">
        <v>73</v>
      </c>
      <c t="s" s="30" r="J1873">
        <v>154</v>
      </c>
      <c t="s" s="30" r="K1873">
        <v>114</v>
      </c>
      <c t="s" s="30" r="L1873">
        <v>158</v>
      </c>
      <c s="30" r="M1873">
        <v>30</v>
      </c>
      <c s="26" r="N1873">
        <v>2.4</v>
      </c>
      <c s="23" r="O1873">
        <v>0.011</v>
      </c>
      <c s="7" r="P1873"/>
      <c s="7" r="Q1873"/>
      <c s="7" r="R1873">
        <f>IF((P1873&gt;0),O1873,0)</f>
        <v>0</v>
      </c>
      <c t="str" r="S1873">
        <f>CONCATENATE(F1873,E1873)</f>
        <v>NON FTLNON FTL</v>
      </c>
    </row>
    <row r="1874">
      <c t="s" s="7" r="A1874">
        <v>201</v>
      </c>
      <c s="7" r="B1874">
        <v>1901</v>
      </c>
      <c s="30" r="C1874">
        <v>18</v>
      </c>
      <c t="s" s="30" r="D1874">
        <v>136</v>
      </c>
      <c t="s" s="30" r="E1874">
        <v>4</v>
      </c>
      <c t="s" s="30" r="F1874">
        <v>4</v>
      </c>
      <c t="s" s="30" r="G1874">
        <v>266</v>
      </c>
      <c t="str" s="12" r="H1874">
        <f>HYPERLINK("http://sofifa.com/en/fifa13winter/player/147163-maicon-thiago-pereira-de-souza","Maicon")</f>
        <v>Maicon</v>
      </c>
      <c s="30" r="I1874">
        <v>73</v>
      </c>
      <c t="s" s="30" r="J1874">
        <v>162</v>
      </c>
      <c t="s" s="30" r="K1874">
        <v>167</v>
      </c>
      <c t="s" s="30" r="L1874">
        <v>135</v>
      </c>
      <c s="30" r="M1874">
        <v>26</v>
      </c>
      <c s="26" r="N1874">
        <v>3.7</v>
      </c>
      <c s="23" r="O1874">
        <v>0.01</v>
      </c>
      <c s="7" r="P1874"/>
      <c s="7" r="Q1874"/>
      <c s="7" r="R1874">
        <f>IF((P1874&gt;0),O1874,0)</f>
        <v>0</v>
      </c>
      <c t="str" r="S1874">
        <f>CONCATENATE(F1874,E1874)</f>
        <v>NON FTLNON FTL</v>
      </c>
    </row>
    <row r="1875">
      <c t="s" s="7" r="A1875">
        <v>201</v>
      </c>
      <c s="7" r="B1875">
        <v>1902</v>
      </c>
      <c s="30" r="C1875">
        <v>26</v>
      </c>
      <c t="s" s="30" r="D1875">
        <v>136</v>
      </c>
      <c t="s" s="30" r="E1875">
        <v>4</v>
      </c>
      <c t="s" s="30" r="F1875">
        <v>4</v>
      </c>
      <c t="s" s="30" r="G1875">
        <v>266</v>
      </c>
      <c t="str" s="12" r="H1875">
        <f>HYPERLINK("http://sofifa.com/en/fifa13winter/player/145847-juan-maldonado-jaimez-junior","Juan")</f>
        <v>Juan</v>
      </c>
      <c s="30" r="I1875">
        <v>70</v>
      </c>
      <c t="s" s="30" r="J1875">
        <v>117</v>
      </c>
      <c t="s" s="30" r="K1875">
        <v>148</v>
      </c>
      <c t="s" s="30" r="L1875">
        <v>125</v>
      </c>
      <c s="30" r="M1875">
        <v>30</v>
      </c>
      <c s="26" r="N1875">
        <v>1.5</v>
      </c>
      <c s="23" r="O1875">
        <v>0.008</v>
      </c>
      <c s="7" r="P1875"/>
      <c s="7" r="Q1875"/>
      <c s="7" r="R1875">
        <f>IF((P1875&gt;0),O1875,0)</f>
        <v>0</v>
      </c>
      <c t="str" r="S1875">
        <f>CONCATENATE(F1875,E1875)</f>
        <v>NON FTLNON FTL</v>
      </c>
    </row>
    <row r="1876">
      <c t="s" s="7" r="A1876">
        <v>201</v>
      </c>
      <c s="7" r="B1876">
        <v>1903</v>
      </c>
      <c s="30" r="C1876">
        <v>4</v>
      </c>
      <c t="s" s="30" r="D1876">
        <v>136</v>
      </c>
      <c t="s" s="30" r="E1876">
        <v>4</v>
      </c>
      <c t="s" s="30" r="F1876">
        <v>4</v>
      </c>
      <c t="s" s="30" r="G1876">
        <v>266</v>
      </c>
      <c t="str" s="12" r="H1876">
        <f>HYPERLINK("http://sofifa.com/en/fifa13winter/player/147494-luiz-rhodolfo-dini-gaioto","Rhodolfo")</f>
        <v>Rhodolfo</v>
      </c>
      <c s="30" r="I1876">
        <v>76</v>
      </c>
      <c t="s" s="30" r="J1876">
        <v>113</v>
      </c>
      <c t="s" s="30" r="K1876">
        <v>107</v>
      </c>
      <c t="s" s="30" r="L1876">
        <v>156</v>
      </c>
      <c s="30" r="M1876">
        <v>26</v>
      </c>
      <c s="26" r="N1876">
        <v>4.8</v>
      </c>
      <c s="23" r="O1876">
        <v>0.015</v>
      </c>
      <c s="7" r="P1876"/>
      <c s="7" r="Q1876"/>
      <c s="7" r="R1876">
        <f>IF((P1876&gt;0),O1876,0)</f>
        <v>0</v>
      </c>
      <c t="str" r="S1876">
        <f>CONCATENATE(F1876,E1876)</f>
        <v>NON FTLNON FTL</v>
      </c>
    </row>
    <row r="1877">
      <c t="s" s="7" r="A1877">
        <v>201</v>
      </c>
      <c s="7" r="B1877">
        <v>1904</v>
      </c>
      <c s="30" r="C1877">
        <v>2</v>
      </c>
      <c t="s" s="30" r="D1877">
        <v>136</v>
      </c>
      <c t="s" s="30" r="E1877">
        <v>4</v>
      </c>
      <c t="s" s="30" r="F1877">
        <v>4</v>
      </c>
      <c t="s" s="30" r="G1877">
        <v>266</v>
      </c>
      <c t="str" s="12" r="H1877">
        <f>HYPERLINK("http://sofifa.com/en/fifa13winter/player/149015-rafael-toloi","Rafael Toloi")</f>
        <v>Rafael Toloi</v>
      </c>
      <c s="30" r="I1877">
        <v>74</v>
      </c>
      <c t="s" s="30" r="J1877">
        <v>113</v>
      </c>
      <c t="s" s="30" r="K1877">
        <v>132</v>
      </c>
      <c t="s" s="30" r="L1877">
        <v>151</v>
      </c>
      <c s="30" r="M1877">
        <v>21</v>
      </c>
      <c s="26" r="N1877">
        <v>3.7</v>
      </c>
      <c s="23" r="O1877">
        <v>0.009</v>
      </c>
      <c s="7" r="P1877"/>
      <c s="7" r="Q1877"/>
      <c s="7" r="R1877">
        <f>IF((P1877&gt;0),O1877,0)</f>
        <v>0</v>
      </c>
      <c t="str" r="S1877">
        <f>CONCATENATE(F1877,E1877)</f>
        <v>NON FTLNON FTL</v>
      </c>
    </row>
    <row r="1878">
      <c t="s" s="7" r="A1878">
        <v>201</v>
      </c>
      <c s="7" r="B1878">
        <v>1905</v>
      </c>
      <c s="30" r="C1878">
        <v>21</v>
      </c>
      <c t="s" s="30" r="D1878">
        <v>136</v>
      </c>
      <c t="s" s="30" r="E1878">
        <v>4</v>
      </c>
      <c t="s" s="30" r="F1878">
        <v>4</v>
      </c>
      <c t="s" s="30" r="G1878">
        <v>266</v>
      </c>
      <c t="str" s="12" r="H1878">
        <f>HYPERLINK("http://sofifa.com/en/fifa13winter/player/149274-roney-gleison-rodrigues-reis","Roni")</f>
        <v>Roni</v>
      </c>
      <c s="30" r="I1878">
        <v>69</v>
      </c>
      <c t="s" s="30" r="J1878">
        <v>162</v>
      </c>
      <c t="s" s="30" r="K1878">
        <v>195</v>
      </c>
      <c t="s" s="30" r="L1878">
        <v>163</v>
      </c>
      <c s="30" r="M1878">
        <v>21</v>
      </c>
      <c s="26" r="N1878">
        <v>2.2</v>
      </c>
      <c s="23" r="O1878">
        <v>0.006</v>
      </c>
      <c s="7" r="P1878"/>
      <c s="7" r="Q1878"/>
      <c s="7" r="R1878">
        <f>IF((P1878&gt;0),O1878,0)</f>
        <v>0</v>
      </c>
      <c t="str" r="S1878">
        <f>CONCATENATE(F1878,E1878)</f>
        <v>NON FTLNON FTL</v>
      </c>
    </row>
    <row r="1879">
      <c t="s" s="7" r="A1879">
        <v>201</v>
      </c>
      <c s="7" r="B1879">
        <v>1906</v>
      </c>
      <c s="30" r="C1879">
        <v>6</v>
      </c>
      <c t="s" s="30" r="D1879">
        <v>147</v>
      </c>
      <c t="s" s="30" r="E1879">
        <v>4</v>
      </c>
      <c t="s" s="30" r="F1879">
        <v>4</v>
      </c>
      <c t="s" s="30" r="G1879">
        <v>266</v>
      </c>
      <c t="str" s="12" r="H1879">
        <f>HYPERLINK("http://sofifa.com/en/fifa13winter/player/147706-bruno-cortes-barbosa","Bruno Cortez")</f>
        <v>Bruno Cortez</v>
      </c>
      <c s="30" r="I1879">
        <v>72</v>
      </c>
      <c t="s" s="30" r="J1879">
        <v>117</v>
      </c>
      <c t="s" s="30" r="K1879">
        <v>118</v>
      </c>
      <c t="s" s="30" r="L1879">
        <v>137</v>
      </c>
      <c s="30" r="M1879">
        <v>25</v>
      </c>
      <c s="26" r="N1879">
        <v>2.5</v>
      </c>
      <c s="23" r="O1879">
        <v>0.009</v>
      </c>
      <c s="7" r="P1879"/>
      <c s="7" r="Q1879"/>
      <c s="7" r="R1879">
        <f>IF((P1879&gt;0),O1879,0)</f>
        <v>0</v>
      </c>
      <c t="str" r="S1879">
        <f>CONCATENATE(F1879,E1879)</f>
        <v>NON FTLNON FTL</v>
      </c>
    </row>
    <row r="1880">
      <c t="s" s="7" r="A1880">
        <v>201</v>
      </c>
      <c s="7" r="B1880">
        <v>1907</v>
      </c>
      <c s="30" r="C1880">
        <v>12</v>
      </c>
      <c t="s" s="30" r="D1880">
        <v>147</v>
      </c>
      <c t="s" s="30" r="E1880">
        <v>4</v>
      </c>
      <c t="s" s="30" r="F1880">
        <v>4</v>
      </c>
      <c t="s" s="30" r="G1880">
        <v>266</v>
      </c>
      <c t="str" s="12" r="H1880">
        <f>HYPERLINK("http://sofifa.com/en/fifa13winter/player/147740-denis-cesar-de-matos","Denis")</f>
        <v>Denis</v>
      </c>
      <c s="30" r="I1880">
        <v>72</v>
      </c>
      <c t="s" s="30" r="J1880">
        <v>106</v>
      </c>
      <c t="s" s="30" r="K1880">
        <v>134</v>
      </c>
      <c t="s" s="30" r="L1880">
        <v>180</v>
      </c>
      <c s="30" r="M1880">
        <v>25</v>
      </c>
      <c s="26" r="N1880">
        <v>2.2</v>
      </c>
      <c s="23" r="O1880">
        <v>0.009</v>
      </c>
      <c s="7" r="P1880"/>
      <c s="7" r="Q1880"/>
      <c s="7" r="R1880">
        <f>IF((P1880&gt;0),O1880,0)</f>
        <v>0</v>
      </c>
      <c t="str" r="S1880">
        <f>CONCATENATE(F1880,E1880)</f>
        <v>NON FTLNON FTL</v>
      </c>
    </row>
    <row r="1881">
      <c t="s" s="7" r="A1881">
        <v>201</v>
      </c>
      <c s="7" r="B1881">
        <v>1908</v>
      </c>
      <c s="30" r="C1881">
        <v>31</v>
      </c>
      <c t="s" s="30" r="D1881">
        <v>147</v>
      </c>
      <c t="s" s="30" r="E1881">
        <v>4</v>
      </c>
      <c t="s" s="30" r="F1881">
        <v>4</v>
      </c>
      <c t="s" s="30" r="G1881">
        <v>266</v>
      </c>
      <c t="str" s="12" r="H1881">
        <f>HYPERLINK("http://sofifa.com/en/fifa13winter/player/148814-renan-ribeiro","Renan Ribeiro")</f>
        <v>Renan Ribeiro</v>
      </c>
      <c s="30" r="I1881">
        <v>71</v>
      </c>
      <c t="s" s="30" r="J1881">
        <v>106</v>
      </c>
      <c t="s" s="30" r="K1881">
        <v>107</v>
      </c>
      <c t="s" s="30" r="L1881">
        <v>180</v>
      </c>
      <c s="30" r="M1881">
        <v>22</v>
      </c>
      <c s="26" r="N1881">
        <v>2</v>
      </c>
      <c s="23" r="O1881">
        <v>0.007</v>
      </c>
      <c s="7" r="P1881"/>
      <c s="7" r="Q1881"/>
      <c s="7" r="R1881">
        <f>IF((P1881&gt;0),O1881,0)</f>
        <v>0</v>
      </c>
      <c t="str" r="S1881">
        <f>CONCATENATE(F1881,E1881)</f>
        <v>NON FTLNON FTL</v>
      </c>
    </row>
    <row r="1882">
      <c t="s" s="7" r="A1882">
        <v>201</v>
      </c>
      <c s="7" r="B1882">
        <v>1909</v>
      </c>
      <c s="30" r="C1882">
        <v>11</v>
      </c>
      <c t="s" s="30" r="D1882">
        <v>147</v>
      </c>
      <c t="s" s="30" r="E1882">
        <v>4</v>
      </c>
      <c t="s" s="30" r="F1882">
        <v>4</v>
      </c>
      <c t="s" s="30" r="G1882">
        <v>266</v>
      </c>
      <c t="str" s="12" r="H1882">
        <f>HYPERLINK("http://sofifa.com/en/fifa13winter/player/150202-ademilson-braga-bispo-junior","Ademilson")</f>
        <v>Ademilson</v>
      </c>
      <c s="30" r="I1882">
        <v>68</v>
      </c>
      <c t="s" s="30" r="J1882">
        <v>129</v>
      </c>
      <c t="s" s="30" r="K1882">
        <v>139</v>
      </c>
      <c t="s" s="30" r="L1882">
        <v>122</v>
      </c>
      <c s="30" r="M1882">
        <v>18</v>
      </c>
      <c s="26" r="N1882">
        <v>2.2</v>
      </c>
      <c s="23" r="O1882">
        <v>0.005</v>
      </c>
      <c s="7" r="P1882"/>
      <c s="7" r="Q1882"/>
      <c s="7" r="R1882">
        <f>IF((P1882&gt;0),O1882,0)</f>
        <v>0</v>
      </c>
      <c t="str" r="S1882">
        <f>CONCATENATE(F1882,E1882)</f>
        <v>NON FTLNON FTL</v>
      </c>
    </row>
    <row r="1883">
      <c t="s" s="7" r="A1883">
        <v>201</v>
      </c>
      <c s="7" r="B1883">
        <v>1910</v>
      </c>
      <c s="30" r="C1883">
        <v>37</v>
      </c>
      <c t="s" s="30" r="D1883">
        <v>147</v>
      </c>
      <c t="s" s="30" r="E1883">
        <v>4</v>
      </c>
      <c t="s" s="30" r="F1883">
        <v>4</v>
      </c>
      <c t="s" s="30" r="G1883">
        <v>266</v>
      </c>
      <c t="str" s="12" r="H1883">
        <f>HYPERLINK("http://sofifa.com/en/fifa13winter/player/149967-joao-felipe-schmidt-urbano","João Schmidt")</f>
        <v>João Schmidt</v>
      </c>
      <c s="30" r="I1883">
        <v>63</v>
      </c>
      <c t="s" s="30" r="J1883">
        <v>154</v>
      </c>
      <c t="s" s="30" r="K1883">
        <v>167</v>
      </c>
      <c t="s" s="30" r="L1883">
        <v>160</v>
      </c>
      <c s="30" r="M1883">
        <v>19</v>
      </c>
      <c s="26" r="N1883">
        <v>0.8</v>
      </c>
      <c s="23" r="O1883">
        <v>0.003</v>
      </c>
      <c s="7" r="P1883"/>
      <c s="7" r="Q1883"/>
      <c s="7" r="R1883">
        <f>IF((P1883&gt;0),O1883,0)</f>
        <v>0</v>
      </c>
      <c t="str" r="S1883">
        <f>CONCATENATE(F1883,E1883)</f>
        <v>NON FTLNON FTL</v>
      </c>
    </row>
    <row r="1884">
      <c t="s" s="7" r="A1884">
        <v>201</v>
      </c>
      <c s="7" r="B1884">
        <v>1911</v>
      </c>
      <c s="30" r="C1884">
        <v>29</v>
      </c>
      <c t="s" s="30" r="D1884">
        <v>147</v>
      </c>
      <c t="s" s="30" r="E1884">
        <v>4</v>
      </c>
      <c t="s" s="30" r="F1884">
        <v>4</v>
      </c>
      <c t="s" s="30" r="G1884">
        <v>266</v>
      </c>
      <c t="str" s="12" r="H1884">
        <f>HYPERLINK("http://sofifa.com/en/fifa13winter/player/148292-wallyson-r-maciel-monteiro","Wallyson")</f>
        <v>Wallyson</v>
      </c>
      <c s="30" r="I1884">
        <v>70</v>
      </c>
      <c t="s" s="30" r="J1884">
        <v>129</v>
      </c>
      <c t="s" s="30" r="K1884">
        <v>145</v>
      </c>
      <c t="s" s="30" r="L1884">
        <v>146</v>
      </c>
      <c s="30" r="M1884">
        <v>23</v>
      </c>
      <c s="26" r="N1884">
        <v>2.3</v>
      </c>
      <c s="23" r="O1884">
        <v>0.006</v>
      </c>
      <c s="7" r="P1884"/>
      <c s="7" r="Q1884"/>
      <c s="7" r="R1884">
        <f>IF((P1884&gt;0),O1884,0)</f>
        <v>0</v>
      </c>
      <c t="str" r="S1884">
        <f>CONCATENATE(F1884,E1884)</f>
        <v>NON FTLNON FTL</v>
      </c>
    </row>
    <row r="1885">
      <c t="s" s="7" r="A1885">
        <v>201</v>
      </c>
      <c s="7" r="B1885">
        <v>1912</v>
      </c>
      <c s="30" r="C1885">
        <v>32</v>
      </c>
      <c t="s" s="30" r="D1885">
        <v>147</v>
      </c>
      <c t="s" s="30" r="E1885">
        <v>4</v>
      </c>
      <c t="s" s="30" r="F1885">
        <v>4</v>
      </c>
      <c t="s" s="30" r="G1885">
        <v>266</v>
      </c>
      <c t="str" s="12" r="H1885">
        <f>HYPERLINK("http://sofifa.com/en/fifa13winter/player/150435-mateus-lucena-dos-santos","Caramelo")</f>
        <v>Caramelo</v>
      </c>
      <c s="30" r="I1885">
        <v>62</v>
      </c>
      <c t="s" s="30" r="J1885">
        <v>109</v>
      </c>
      <c t="s" s="30" r="K1885">
        <v>150</v>
      </c>
      <c t="s" s="30" r="L1885">
        <v>158</v>
      </c>
      <c s="30" r="M1885">
        <v>18</v>
      </c>
      <c s="26" r="N1885">
        <v>0.7</v>
      </c>
      <c s="23" r="O1885">
        <v>0.003</v>
      </c>
      <c s="7" r="P1885"/>
      <c s="7" r="Q1885"/>
      <c s="7" r="R1885">
        <f>IF((P1885&gt;0),O1885,0)</f>
        <v>0</v>
      </c>
      <c t="str" r="S1885">
        <f>CONCATENATE(F1885,E1885)</f>
        <v>NON FTLNON FTL</v>
      </c>
    </row>
    <row r="1886">
      <c t="s" s="7" r="A1886">
        <v>201</v>
      </c>
      <c s="7" r="B1886">
        <v>1913</v>
      </c>
      <c s="30" r="C1886">
        <v>1</v>
      </c>
      <c t="s" s="30" r="D1886">
        <v>106</v>
      </c>
      <c t="s" s="30" r="E1886">
        <v>4</v>
      </c>
      <c t="s" s="30" r="F1886">
        <v>4</v>
      </c>
      <c t="s" s="30" r="G1886">
        <v>267</v>
      </c>
      <c t="str" s="12" r="H1886">
        <f>HYPERLINK("http://sofifa.com/en/fifa13winter/player/147281-kenneth-vermeer","K. Vermeer")</f>
        <v>K. Vermeer</v>
      </c>
      <c s="30" r="I1886">
        <v>78</v>
      </c>
      <c t="s" s="30" r="J1886">
        <v>106</v>
      </c>
      <c t="s" s="30" r="K1886">
        <v>143</v>
      </c>
      <c t="s" s="30" r="L1886">
        <v>161</v>
      </c>
      <c s="30" r="M1886">
        <v>26</v>
      </c>
      <c s="26" r="N1886">
        <v>5.3</v>
      </c>
      <c s="23" r="O1886">
        <v>0.019</v>
      </c>
      <c s="7" r="P1886"/>
      <c s="7" r="Q1886"/>
      <c s="7" r="R1886">
        <f>IF((P1886&gt;0),O1886,0)</f>
        <v>0</v>
      </c>
      <c t="str" r="S1886">
        <f>CONCATENATE(F1886,E1886)</f>
        <v>NON FTLNON FTL</v>
      </c>
    </row>
    <row r="1887">
      <c t="s" s="7" r="A1887">
        <v>201</v>
      </c>
      <c s="7" r="B1887">
        <v>1914</v>
      </c>
      <c s="30" r="C1887">
        <v>2</v>
      </c>
      <c t="s" s="30" r="D1887">
        <v>109</v>
      </c>
      <c t="s" s="30" r="E1887">
        <v>4</v>
      </c>
      <c t="s" s="30" r="F1887">
        <v>4</v>
      </c>
      <c t="s" s="30" r="G1887">
        <v>267</v>
      </c>
      <c t="str" s="12" r="H1887">
        <f>HYPERLINK("http://sofifa.com/en/fifa13winter/player/149261-ricardo-van-rhijn","R. van Rhijn")</f>
        <v>R. van Rhijn</v>
      </c>
      <c s="30" r="I1887">
        <v>73</v>
      </c>
      <c t="s" s="30" r="J1887">
        <v>109</v>
      </c>
      <c t="s" s="30" r="K1887">
        <v>110</v>
      </c>
      <c t="s" s="30" r="L1887">
        <v>158</v>
      </c>
      <c s="30" r="M1887">
        <v>21</v>
      </c>
      <c s="26" r="N1887">
        <v>3.1</v>
      </c>
      <c s="23" r="O1887">
        <v>0.009</v>
      </c>
      <c s="7" r="P1887"/>
      <c s="7" r="Q1887"/>
      <c s="7" r="R1887">
        <f>IF((P1887&gt;0),O1887,0)</f>
        <v>0</v>
      </c>
      <c t="str" r="S1887">
        <f>CONCATENATE(F1887,E1887)</f>
        <v>NON FTLNON FTL</v>
      </c>
    </row>
    <row r="1888">
      <c t="s" s="7" r="A1888">
        <v>201</v>
      </c>
      <c s="7" r="B1888">
        <v>1915</v>
      </c>
      <c s="30" r="C1888">
        <v>3</v>
      </c>
      <c t="s" s="30" r="D1888">
        <v>112</v>
      </c>
      <c t="s" s="30" r="E1888">
        <v>4</v>
      </c>
      <c t="s" s="30" r="F1888">
        <v>4</v>
      </c>
      <c t="s" s="30" r="G1888">
        <v>267</v>
      </c>
      <c t="str" s="12" r="H1888">
        <f>HYPERLINK("http://sofifa.com/en/fifa13winter/player/148428-toby-alderweireld","T. Alderweireld")</f>
        <v>T. Alderweireld</v>
      </c>
      <c s="30" r="I1888">
        <v>78</v>
      </c>
      <c t="s" s="30" r="J1888">
        <v>113</v>
      </c>
      <c t="s" s="30" r="K1888">
        <v>173</v>
      </c>
      <c t="s" s="30" r="L1888">
        <v>183</v>
      </c>
      <c s="30" r="M1888">
        <v>23</v>
      </c>
      <c s="26" r="N1888">
        <v>6.7</v>
      </c>
      <c s="23" r="O1888">
        <v>0.018</v>
      </c>
      <c s="7" r="P1888"/>
      <c s="7" r="Q1888"/>
      <c s="7" r="R1888">
        <f>IF((P1888&gt;0),O1888,0)</f>
        <v>0</v>
      </c>
      <c t="str" r="S1888">
        <f>CONCATENATE(F1888,E1888)</f>
        <v>NON FTLNON FTL</v>
      </c>
    </row>
    <row r="1889">
      <c t="s" s="7" r="A1889">
        <v>201</v>
      </c>
      <c s="7" r="B1889">
        <v>1916</v>
      </c>
      <c s="30" r="C1889">
        <v>4</v>
      </c>
      <c t="s" s="30" r="D1889">
        <v>116</v>
      </c>
      <c t="s" s="30" r="E1889">
        <v>4</v>
      </c>
      <c t="s" s="30" r="F1889">
        <v>4</v>
      </c>
      <c t="s" s="30" r="G1889">
        <v>267</v>
      </c>
      <c t="str" s="12" r="H1889">
        <f>HYPERLINK("http://sofifa.com/en/fifa13winter/player/147178-niklas-moisander","N. Moisander")</f>
        <v>N. Moisander</v>
      </c>
      <c s="30" r="I1889">
        <v>76</v>
      </c>
      <c t="s" s="30" r="J1889">
        <v>113</v>
      </c>
      <c t="s" s="30" r="K1889">
        <v>143</v>
      </c>
      <c t="s" s="30" r="L1889">
        <v>151</v>
      </c>
      <c s="30" r="M1889">
        <v>26</v>
      </c>
      <c s="26" r="N1889">
        <v>4.8</v>
      </c>
      <c s="23" r="O1889">
        <v>0.015</v>
      </c>
      <c s="7" r="P1889"/>
      <c s="7" r="Q1889"/>
      <c s="7" r="R1889">
        <f>IF((P1889&gt;0),O1889,0)</f>
        <v>0</v>
      </c>
      <c t="str" r="S1889">
        <f>CONCATENATE(F1889,E1889)</f>
        <v>NON FTLNON FTL</v>
      </c>
    </row>
    <row r="1890">
      <c t="s" s="7" r="A1890">
        <v>201</v>
      </c>
      <c s="7" r="B1890">
        <v>1917</v>
      </c>
      <c s="30" r="C1890">
        <v>17</v>
      </c>
      <c t="s" s="30" r="D1890">
        <v>117</v>
      </c>
      <c t="s" s="30" r="E1890">
        <v>4</v>
      </c>
      <c t="s" s="30" r="F1890">
        <v>4</v>
      </c>
      <c t="s" s="30" r="G1890">
        <v>267</v>
      </c>
      <c t="str" s="12" r="H1890">
        <f>HYPERLINK("http://sofifa.com/en/fifa13winter/player/148800-daley-blind","D. Blind")</f>
        <v>D. Blind</v>
      </c>
      <c s="30" r="I1890">
        <v>74</v>
      </c>
      <c t="s" s="30" r="J1890">
        <v>117</v>
      </c>
      <c t="s" s="30" r="K1890">
        <v>114</v>
      </c>
      <c t="s" s="30" r="L1890">
        <v>146</v>
      </c>
      <c s="30" r="M1890">
        <v>22</v>
      </c>
      <c s="26" r="N1890">
        <v>3.4</v>
      </c>
      <c s="23" r="O1890">
        <v>0.01</v>
      </c>
      <c s="7" r="P1890"/>
      <c s="7" r="Q1890"/>
      <c s="7" r="R1890">
        <f>IF((P1890&gt;0),O1890,0)</f>
        <v>0</v>
      </c>
      <c t="str" r="S1890">
        <f>CONCATENATE(F1890,E1890)</f>
        <v>NON FTLNON FTL</v>
      </c>
    </row>
    <row r="1891">
      <c t="s" s="7" r="A1891">
        <v>201</v>
      </c>
      <c s="7" r="B1891">
        <v>1918</v>
      </c>
      <c s="30" r="C1891">
        <v>10</v>
      </c>
      <c t="s" s="30" r="D1891">
        <v>123</v>
      </c>
      <c t="s" s="30" r="E1891">
        <v>4</v>
      </c>
      <c t="s" s="30" r="F1891">
        <v>4</v>
      </c>
      <c t="s" s="30" r="G1891">
        <v>267</v>
      </c>
      <c t="str" s="12" r="H1891">
        <f>HYPERLINK("http://sofifa.com/en/fifa13winter/player/148395-siem-de-jong","S. de Jong")</f>
        <v>S. de Jong</v>
      </c>
      <c s="30" r="I1891">
        <v>78</v>
      </c>
      <c t="s" s="30" r="J1891">
        <v>162</v>
      </c>
      <c t="s" s="30" r="K1891">
        <v>132</v>
      </c>
      <c t="s" s="30" r="L1891">
        <v>153</v>
      </c>
      <c s="30" r="M1891">
        <v>23</v>
      </c>
      <c s="26" r="N1891">
        <v>7.7</v>
      </c>
      <c s="23" r="O1891">
        <v>0.018</v>
      </c>
      <c s="7" r="P1891"/>
      <c s="7" r="Q1891"/>
      <c s="7" r="R1891">
        <f>IF((P1891&gt;0),O1891,0)</f>
        <v>0</v>
      </c>
      <c t="str" r="S1891">
        <f>CONCATENATE(F1891,E1891)</f>
        <v>NON FTLNON FTL</v>
      </c>
    </row>
    <row r="1892">
      <c t="s" s="7" r="A1892">
        <v>201</v>
      </c>
      <c s="7" r="B1892">
        <v>1919</v>
      </c>
      <c s="30" r="C1892">
        <v>20</v>
      </c>
      <c t="s" s="30" r="D1892">
        <v>124</v>
      </c>
      <c t="s" s="30" r="E1892">
        <v>4</v>
      </c>
      <c t="s" s="30" r="F1892">
        <v>4</v>
      </c>
      <c t="s" s="30" r="G1892">
        <v>267</v>
      </c>
      <c t="str" s="12" r="H1892">
        <f>HYPERLINK("http://sofifa.com/en/fifa13winter/player/147418-lasse-schone","L. Schøne")</f>
        <v>L. Schøne</v>
      </c>
      <c s="30" r="I1892">
        <v>75</v>
      </c>
      <c t="s" s="30" r="J1892">
        <v>124</v>
      </c>
      <c t="s" s="30" r="K1892">
        <v>118</v>
      </c>
      <c t="s" s="30" r="L1892">
        <v>151</v>
      </c>
      <c s="30" r="M1892">
        <v>26</v>
      </c>
      <c s="26" r="N1892">
        <v>4</v>
      </c>
      <c s="23" r="O1892">
        <v>0.013</v>
      </c>
      <c s="7" r="P1892"/>
      <c s="7" r="Q1892"/>
      <c s="7" r="R1892">
        <f>IF((P1892&gt;0),O1892,0)</f>
        <v>0</v>
      </c>
      <c t="str" r="S1892">
        <f>CONCATENATE(F1892,E1892)</f>
        <v>NON FTLNON FTL</v>
      </c>
    </row>
    <row r="1893">
      <c t="s" s="7" r="A1893">
        <v>201</v>
      </c>
      <c s="7" r="B1893">
        <v>1920</v>
      </c>
      <c s="30" r="C1893">
        <v>8</v>
      </c>
      <c t="s" s="30" r="D1893">
        <v>126</v>
      </c>
      <c t="s" s="30" r="E1893">
        <v>4</v>
      </c>
      <c t="s" s="30" r="F1893">
        <v>4</v>
      </c>
      <c t="s" s="30" r="G1893">
        <v>267</v>
      </c>
      <c t="str" s="12" r="H1893">
        <f>HYPERLINK("http://sofifa.com/en/fifa13winter/player/149507-christian-eriksen","C. Eriksen")</f>
        <v>C. Eriksen</v>
      </c>
      <c s="30" r="I1893">
        <v>81</v>
      </c>
      <c t="s" s="30" r="J1893">
        <v>162</v>
      </c>
      <c t="s" s="30" r="K1893">
        <v>159</v>
      </c>
      <c t="s" s="30" r="L1893">
        <v>142</v>
      </c>
      <c s="30" r="M1893">
        <v>20</v>
      </c>
      <c s="26" r="N1893">
        <v>15.9</v>
      </c>
      <c s="23" r="O1893">
        <v>0.034</v>
      </c>
      <c s="7" r="P1893"/>
      <c s="7" r="Q1893"/>
      <c s="7" r="R1893">
        <f>IF((P1893&gt;0),O1893,0)</f>
        <v>0</v>
      </c>
      <c t="str" r="S1893">
        <f>CONCATENATE(F1893,E1893)</f>
        <v>NON FTLNON FTL</v>
      </c>
    </row>
    <row r="1894">
      <c t="s" s="7" r="A1894">
        <v>201</v>
      </c>
      <c s="7" r="B1894">
        <v>1921</v>
      </c>
      <c s="30" r="C1894">
        <v>49</v>
      </c>
      <c t="s" s="30" r="D1894">
        <v>157</v>
      </c>
      <c t="s" s="30" r="E1894">
        <v>4</v>
      </c>
      <c t="s" s="30" r="F1894">
        <v>4</v>
      </c>
      <c t="s" s="30" r="G1894">
        <v>267</v>
      </c>
      <c t="str" s="12" r="H1894">
        <f>HYPERLINK("http://sofifa.com/en/fifa13winter/player/147624-ryan-babel","R. Babel")</f>
        <v>R. Babel</v>
      </c>
      <c s="30" r="I1894">
        <v>77</v>
      </c>
      <c t="s" s="30" r="J1894">
        <v>170</v>
      </c>
      <c t="s" s="30" r="K1894">
        <v>132</v>
      </c>
      <c t="s" s="30" r="L1894">
        <v>158</v>
      </c>
      <c s="30" r="M1894">
        <v>25</v>
      </c>
      <c s="26" r="N1894">
        <v>6.7</v>
      </c>
      <c s="23" r="O1894">
        <v>0.017</v>
      </c>
      <c s="7" r="P1894"/>
      <c s="7" r="Q1894"/>
      <c s="7" r="R1894">
        <f>IF((P1894&gt;0),O1894,0)</f>
        <v>0</v>
      </c>
      <c t="str" r="S1894">
        <f>CONCATENATE(F1894,E1894)</f>
        <v>NON FTLNON FTL</v>
      </c>
    </row>
    <row r="1895">
      <c t="s" s="7" r="A1895">
        <v>201</v>
      </c>
      <c s="7" r="B1895">
        <v>1922</v>
      </c>
      <c s="30" r="C1895">
        <v>9</v>
      </c>
      <c t="s" s="30" r="D1895">
        <v>129</v>
      </c>
      <c t="s" s="30" r="E1895">
        <v>4</v>
      </c>
      <c t="s" s="30" r="F1895">
        <v>4</v>
      </c>
      <c t="s" s="30" r="G1895">
        <v>267</v>
      </c>
      <c t="str" s="12" r="H1895">
        <f>HYPERLINK("http://sofifa.com/en/fifa13winter/player/148805-kolbeinn-sigthorsson","K. Sigþórsson")</f>
        <v>K. Sigþórsson</v>
      </c>
      <c s="30" r="I1895">
        <v>74</v>
      </c>
      <c t="s" s="30" r="J1895">
        <v>129</v>
      </c>
      <c t="s" s="30" r="K1895">
        <v>132</v>
      </c>
      <c t="s" s="30" r="L1895">
        <v>137</v>
      </c>
      <c s="30" r="M1895">
        <v>22</v>
      </c>
      <c s="26" r="N1895">
        <v>4.3</v>
      </c>
      <c s="23" r="O1895">
        <v>0.01</v>
      </c>
      <c s="7" r="P1895"/>
      <c s="7" r="Q1895"/>
      <c s="7" r="R1895">
        <f>IF((P1895&gt;0),O1895,0)</f>
        <v>0</v>
      </c>
      <c t="str" r="S1895">
        <f>CONCATENATE(F1895,E1895)</f>
        <v>NON FTLNON FTL</v>
      </c>
    </row>
    <row r="1896">
      <c t="s" s="7" r="A1896">
        <v>201</v>
      </c>
      <c s="7" r="B1896">
        <v>1923</v>
      </c>
      <c s="30" r="C1896">
        <v>39</v>
      </c>
      <c t="s" s="30" r="D1896">
        <v>170</v>
      </c>
      <c t="s" s="30" r="E1896">
        <v>4</v>
      </c>
      <c t="s" s="30" r="F1896">
        <v>4</v>
      </c>
      <c t="s" s="30" r="G1896">
        <v>267</v>
      </c>
      <c t="str" s="12" r="H1896">
        <f>HYPERLINK("http://sofifa.com/en/fifa13winter/player/150353-viktor-fischer","V. Fischer")</f>
        <v>V. Fischer</v>
      </c>
      <c s="30" r="I1896">
        <v>74</v>
      </c>
      <c t="s" s="30" r="J1896">
        <v>170</v>
      </c>
      <c t="s" s="30" r="K1896">
        <v>114</v>
      </c>
      <c t="s" s="30" r="L1896">
        <v>142</v>
      </c>
      <c s="30" r="M1896">
        <v>18</v>
      </c>
      <c s="26" r="N1896">
        <v>4.3</v>
      </c>
      <c s="23" r="O1896">
        <v>0.008</v>
      </c>
      <c s="7" r="P1896"/>
      <c s="7" r="Q1896"/>
      <c s="7" r="R1896">
        <f>IF((P1896&gt;0),O1896,0)</f>
        <v>0</v>
      </c>
      <c t="str" r="S1896">
        <f>CONCATENATE(F1896,E1896)</f>
        <v>NON FTLNON FTL</v>
      </c>
    </row>
    <row r="1897">
      <c t="s" s="7" r="A1897">
        <v>201</v>
      </c>
      <c s="7" r="B1897">
        <v>1924</v>
      </c>
      <c s="30" r="C1897">
        <v>33</v>
      </c>
      <c t="s" s="30" r="D1897">
        <v>136</v>
      </c>
      <c t="s" s="30" r="E1897">
        <v>4</v>
      </c>
      <c t="s" s="30" r="F1897">
        <v>4</v>
      </c>
      <c t="s" s="30" r="G1897">
        <v>267</v>
      </c>
      <c t="str" s="12" r="H1897">
        <f>HYPERLINK("http://sofifa.com/en/fifa13winter/player/149477-joel-veltman","J. Veltman")</f>
        <v>J. Veltman</v>
      </c>
      <c s="30" r="I1897">
        <v>67</v>
      </c>
      <c t="s" s="30" r="J1897">
        <v>113</v>
      </c>
      <c t="s" s="30" r="K1897">
        <v>143</v>
      </c>
      <c t="s" s="30" r="L1897">
        <v>119</v>
      </c>
      <c s="30" r="M1897">
        <v>20</v>
      </c>
      <c s="26" r="N1897">
        <v>1.5</v>
      </c>
      <c s="23" r="O1897">
        <v>0.005</v>
      </c>
      <c s="7" r="P1897"/>
      <c s="7" r="Q1897"/>
      <c s="7" r="R1897">
        <f>IF((P1897&gt;0),O1897,0)</f>
        <v>0</v>
      </c>
      <c t="str" r="S1897">
        <f>CONCATENATE(F1897,E1897)</f>
        <v>NON FTLNON FTL</v>
      </c>
    </row>
    <row r="1898">
      <c t="s" s="7" r="A1898">
        <v>201</v>
      </c>
      <c s="7" r="B1898">
        <v>1925</v>
      </c>
      <c s="30" r="C1898">
        <v>35</v>
      </c>
      <c t="s" s="30" r="D1898">
        <v>136</v>
      </c>
      <c t="s" s="30" r="E1898">
        <v>4</v>
      </c>
      <c t="s" s="30" r="F1898">
        <v>4</v>
      </c>
      <c t="s" s="30" r="G1898">
        <v>267</v>
      </c>
      <c t="str" s="12" r="H1898">
        <f>HYPERLINK("http://sofifa.com/en/fifa13winter/player/149868-mitchell-dijks","M. Dijks")</f>
        <v>M. Dijks</v>
      </c>
      <c s="30" r="I1898">
        <v>66</v>
      </c>
      <c t="s" s="30" r="J1898">
        <v>117</v>
      </c>
      <c t="s" s="30" r="K1898">
        <v>107</v>
      </c>
      <c t="s" s="30" r="L1898">
        <v>178</v>
      </c>
      <c s="30" r="M1898">
        <v>19</v>
      </c>
      <c s="26" r="N1898">
        <v>1.2</v>
      </c>
      <c s="23" r="O1898">
        <v>0.004</v>
      </c>
      <c s="7" r="P1898"/>
      <c s="7" r="Q1898"/>
      <c s="7" r="R1898">
        <f>IF((P1898&gt;0),O1898,0)</f>
        <v>0</v>
      </c>
      <c t="str" r="S1898">
        <f>CONCATENATE(F1898,E1898)</f>
        <v>NON FTLNON FTL</v>
      </c>
    </row>
    <row r="1899">
      <c t="s" s="7" r="A1899">
        <v>201</v>
      </c>
      <c s="7" r="B1899">
        <v>1926</v>
      </c>
      <c s="30" r="C1899">
        <v>25</v>
      </c>
      <c t="s" s="30" r="D1899">
        <v>136</v>
      </c>
      <c t="s" s="30" r="E1899">
        <v>4</v>
      </c>
      <c t="s" s="30" r="F1899">
        <v>4</v>
      </c>
      <c t="s" s="30" r="G1899">
        <v>267</v>
      </c>
      <c t="str" s="12" r="H1899">
        <f>HYPERLINK("http://sofifa.com/en/fifa13winter/player/148833-thulani-serero","T. Serero")</f>
        <v>T. Serero</v>
      </c>
      <c s="30" r="I1899">
        <v>72</v>
      </c>
      <c t="s" s="30" r="J1899">
        <v>162</v>
      </c>
      <c t="s" s="30" r="K1899">
        <v>226</v>
      </c>
      <c t="s" s="30" r="L1899">
        <v>164</v>
      </c>
      <c s="30" r="M1899">
        <v>22</v>
      </c>
      <c s="26" r="N1899">
        <v>3.2</v>
      </c>
      <c s="23" r="O1899">
        <v>0.008</v>
      </c>
      <c s="7" r="P1899"/>
      <c s="7" r="Q1899"/>
      <c s="7" r="R1899">
        <f>IF((P1899&gt;0),O1899,0)</f>
        <v>0</v>
      </c>
      <c t="str" r="S1899">
        <f>CONCATENATE(F1899,E1899)</f>
        <v>NON FTLNON FTL</v>
      </c>
    </row>
    <row r="1900">
      <c t="s" s="7" r="A1900">
        <v>201</v>
      </c>
      <c s="7" r="B1900">
        <v>1927</v>
      </c>
      <c s="30" r="C1900">
        <v>27</v>
      </c>
      <c t="s" s="30" r="D1900">
        <v>136</v>
      </c>
      <c t="s" s="30" r="E1900">
        <v>4</v>
      </c>
      <c t="s" s="30" r="F1900">
        <v>4</v>
      </c>
      <c t="s" s="30" r="G1900">
        <v>267</v>
      </c>
      <c t="str" s="12" r="H1900">
        <f>HYPERLINK("http://sofifa.com/en/fifa13winter/player/149782-jody-lukoki","J. Lukoki")</f>
        <v>J. Lukoki</v>
      </c>
      <c s="30" r="I1900">
        <v>69</v>
      </c>
      <c t="s" s="30" r="J1900">
        <v>157</v>
      </c>
      <c t="s" s="30" r="K1900">
        <v>130</v>
      </c>
      <c t="s" s="30" r="L1900">
        <v>140</v>
      </c>
      <c s="30" r="M1900">
        <v>19</v>
      </c>
      <c s="26" r="N1900">
        <v>2.5</v>
      </c>
      <c s="23" r="O1900">
        <v>0.005</v>
      </c>
      <c s="7" r="P1900"/>
      <c s="7" r="Q1900"/>
      <c s="7" r="R1900">
        <f>IF((P1900&gt;0),O1900,0)</f>
        <v>0</v>
      </c>
      <c t="str" r="S1900">
        <f>CONCATENATE(F1900,E1900)</f>
        <v>NON FTLNON FTL</v>
      </c>
    </row>
    <row r="1901">
      <c t="s" s="7" r="A1901">
        <v>201</v>
      </c>
      <c s="7" r="B1901">
        <v>1928</v>
      </c>
      <c s="30" r="C1901">
        <v>11</v>
      </c>
      <c t="s" s="30" r="D1901">
        <v>136</v>
      </c>
      <c t="s" s="30" r="E1901">
        <v>4</v>
      </c>
      <c t="s" s="30" r="F1901">
        <v>4</v>
      </c>
      <c t="s" s="30" r="G1901">
        <v>267</v>
      </c>
      <c t="str" s="12" r="H1901">
        <f>HYPERLINK("http://sofifa.com/en/fifa13winter/player/149214-juan-isaac-cuenca-lopez","Isaac Cuenca")</f>
        <v>Isaac Cuenca</v>
      </c>
      <c s="30" r="I1901">
        <v>75</v>
      </c>
      <c t="s" s="30" r="J1901">
        <v>157</v>
      </c>
      <c t="s" s="30" r="K1901">
        <v>187</v>
      </c>
      <c t="s" s="30" r="L1901">
        <v>163</v>
      </c>
      <c s="30" r="M1901">
        <v>21</v>
      </c>
      <c s="26" r="N1901">
        <v>5</v>
      </c>
      <c s="23" r="O1901">
        <v>0.011</v>
      </c>
      <c s="7" r="P1901"/>
      <c s="7" r="Q1901"/>
      <c s="7" r="R1901">
        <f>IF((P1901&gt;0),O1901,0)</f>
        <v>0</v>
      </c>
      <c t="str" r="S1901">
        <f>CONCATENATE(F1901,E1901)</f>
        <v>NON FTLNON FTL</v>
      </c>
    </row>
    <row r="1902">
      <c t="s" s="7" r="A1902">
        <v>201</v>
      </c>
      <c s="7" r="B1902">
        <v>1929</v>
      </c>
      <c s="30" r="C1902">
        <v>5</v>
      </c>
      <c t="s" s="30" r="D1902">
        <v>136</v>
      </c>
      <c t="s" s="30" r="E1902">
        <v>4</v>
      </c>
      <c t="s" s="30" r="F1902">
        <v>4</v>
      </c>
      <c t="s" s="30" r="G1902">
        <v>267</v>
      </c>
      <c t="str" s="12" r="H1902">
        <f>HYPERLINK("http://sofifa.com/en/fifa13winter/player/145138-christian-poulsen","C. Poulsen")</f>
        <v>C. Poulsen</v>
      </c>
      <c s="30" r="I1902">
        <v>76</v>
      </c>
      <c t="s" s="30" r="J1902">
        <v>154</v>
      </c>
      <c t="s" s="30" r="K1902">
        <v>150</v>
      </c>
      <c t="s" s="30" r="L1902">
        <v>137</v>
      </c>
      <c s="30" r="M1902">
        <v>32</v>
      </c>
      <c s="26" r="N1902">
        <v>3.4</v>
      </c>
      <c s="23" r="O1902">
        <v>0.018</v>
      </c>
      <c s="7" r="P1902"/>
      <c s="7" r="Q1902"/>
      <c s="7" r="R1902">
        <f>IF((P1902&gt;0),O1902,0)</f>
        <v>0</v>
      </c>
      <c t="str" r="S1902">
        <f>CONCATENATE(F1902,E1902)</f>
        <v>NON FTLNON FTL</v>
      </c>
    </row>
    <row r="1903">
      <c t="s" s="7" r="A1903">
        <v>201</v>
      </c>
      <c s="7" r="B1903">
        <v>1930</v>
      </c>
      <c s="30" r="C1903">
        <v>15</v>
      </c>
      <c t="s" s="30" r="D1903">
        <v>136</v>
      </c>
      <c t="s" s="30" r="E1903">
        <v>4</v>
      </c>
      <c t="s" s="30" r="F1903">
        <v>4</v>
      </c>
      <c t="s" s="30" r="G1903">
        <v>267</v>
      </c>
      <c t="str" s="12" r="H1903">
        <f>HYPERLINK("http://sofifa.com/en/fifa13winter/player/149509-nicolai-boilesen","N. Boilesen")</f>
        <v>N. Boilesen</v>
      </c>
      <c s="30" r="I1903">
        <v>68</v>
      </c>
      <c t="s" s="30" r="J1903">
        <v>117</v>
      </c>
      <c t="s" s="30" r="K1903">
        <v>132</v>
      </c>
      <c t="s" s="30" r="L1903">
        <v>151</v>
      </c>
      <c s="30" r="M1903">
        <v>20</v>
      </c>
      <c s="26" r="N1903">
        <v>1.6</v>
      </c>
      <c s="23" r="O1903">
        <v>0.005</v>
      </c>
      <c s="7" r="P1903"/>
      <c s="7" r="Q1903"/>
      <c s="7" r="R1903">
        <f>IF((P1903&gt;0),O1903,0)</f>
        <v>0</v>
      </c>
      <c t="str" r="S1903">
        <f>CONCATENATE(F1903,E1903)</f>
        <v>NON FTLNON FTL</v>
      </c>
    </row>
    <row r="1904">
      <c t="s" s="7" r="A1904">
        <v>201</v>
      </c>
      <c s="7" r="B1904">
        <v>1931</v>
      </c>
      <c s="30" r="C1904">
        <v>22</v>
      </c>
      <c t="s" s="30" r="D1904">
        <v>136</v>
      </c>
      <c t="s" s="30" r="E1904">
        <v>4</v>
      </c>
      <c t="s" s="30" r="F1904">
        <v>4</v>
      </c>
      <c t="s" s="30" r="G1904">
        <v>267</v>
      </c>
      <c t="str" s="12" r="H1904">
        <f>HYPERLINK("http://sofifa.com/en/fifa13winter/player/148479-jasper-cillessen","J. Cillessen")</f>
        <v>J. Cillessen</v>
      </c>
      <c s="30" r="I1904">
        <v>74</v>
      </c>
      <c t="s" s="30" r="J1904">
        <v>106</v>
      </c>
      <c t="s" s="30" r="K1904">
        <v>134</v>
      </c>
      <c t="s" s="30" r="L1904">
        <v>193</v>
      </c>
      <c s="30" r="M1904">
        <v>23</v>
      </c>
      <c s="26" r="N1904">
        <v>2.9</v>
      </c>
      <c s="23" r="O1904">
        <v>0.01</v>
      </c>
      <c s="7" r="P1904"/>
      <c s="7" r="Q1904"/>
      <c s="7" r="R1904">
        <f>IF((P1904&gt;0),O1904,0)</f>
        <v>0</v>
      </c>
      <c t="str" r="S1904">
        <f>CONCATENATE(F1904,E1904)</f>
        <v>NON FTLNON FTL</v>
      </c>
    </row>
    <row r="1905">
      <c t="s" s="7" r="A1905">
        <v>201</v>
      </c>
      <c s="7" r="B1905">
        <v>1932</v>
      </c>
      <c s="30" r="C1905">
        <v>19</v>
      </c>
      <c t="s" s="30" r="D1905">
        <v>136</v>
      </c>
      <c t="s" s="30" r="E1905">
        <v>4</v>
      </c>
      <c t="s" s="30" r="F1905">
        <v>4</v>
      </c>
      <c t="s" s="30" r="G1905">
        <v>267</v>
      </c>
      <c t="str" s="12" r="H1905">
        <f>HYPERLINK("http://sofifa.com/en/fifa13winter/player/148559-tobias-sana","T. Sana")</f>
        <v>T. Sana</v>
      </c>
      <c s="30" r="I1905">
        <v>68</v>
      </c>
      <c t="s" s="30" r="J1905">
        <v>157</v>
      </c>
      <c t="s" s="30" r="K1905">
        <v>130</v>
      </c>
      <c t="s" s="30" r="L1905">
        <v>141</v>
      </c>
      <c s="30" r="M1905">
        <v>23</v>
      </c>
      <c s="26" r="N1905">
        <v>1.9</v>
      </c>
      <c s="23" r="O1905">
        <v>0.006</v>
      </c>
      <c s="7" r="P1905"/>
      <c s="7" r="Q1905"/>
      <c s="7" r="R1905">
        <f>IF((P1905&gt;0),O1905,0)</f>
        <v>0</v>
      </c>
      <c t="str" r="S1905">
        <f>CONCATENATE(F1905,E1905)</f>
        <v>NON FTLNON FTL</v>
      </c>
    </row>
    <row r="1906">
      <c t="s" s="7" r="A1906">
        <v>201</v>
      </c>
      <c s="7" r="B1906">
        <v>1933</v>
      </c>
      <c s="30" r="C1906">
        <v>23</v>
      </c>
      <c t="s" s="30" r="D1906">
        <v>136</v>
      </c>
      <c t="s" s="30" r="E1906">
        <v>4</v>
      </c>
      <c t="s" s="30" r="F1906">
        <v>4</v>
      </c>
      <c t="s" s="30" r="G1906">
        <v>267</v>
      </c>
      <c t="str" s="12" r="H1906">
        <f>HYPERLINK("http://sofifa.com/en/fifa13winter/player/149112-danny-hoesen","D. Hoesen")</f>
        <v>D. Hoesen</v>
      </c>
      <c s="30" r="I1906">
        <v>71</v>
      </c>
      <c t="s" s="30" r="J1906">
        <v>129</v>
      </c>
      <c t="s" s="30" r="K1906">
        <v>173</v>
      </c>
      <c t="s" s="30" r="L1906">
        <v>183</v>
      </c>
      <c s="30" r="M1906">
        <v>21</v>
      </c>
      <c s="26" r="N1906">
        <v>2.9</v>
      </c>
      <c s="23" r="O1906">
        <v>0.007</v>
      </c>
      <c s="7" r="P1906"/>
      <c s="7" r="Q1906"/>
      <c s="7" r="R1906">
        <f>IF((P1906&gt;0),O1906,0)</f>
        <v>0</v>
      </c>
      <c t="str" r="S1906">
        <f>CONCATENATE(F1906,E1906)</f>
        <v>NON FTLNON FTL</v>
      </c>
    </row>
    <row r="1907">
      <c t="s" s="7" r="A1907">
        <v>201</v>
      </c>
      <c s="7" r="B1907">
        <v>1934</v>
      </c>
      <c s="30" r="C1907">
        <v>21</v>
      </c>
      <c t="s" s="30" r="D1907">
        <v>136</v>
      </c>
      <c t="s" s="30" r="E1907">
        <v>4</v>
      </c>
      <c t="s" s="30" r="F1907">
        <v>4</v>
      </c>
      <c t="s" s="30" r="G1907">
        <v>267</v>
      </c>
      <c t="str" s="12" r="H1907">
        <f>HYPERLINK("http://sofifa.com/en/fifa13winter/player/147560-derk-boerrigter","D. Boerrigter")</f>
        <v>D. Boerrigter</v>
      </c>
      <c s="30" r="I1907">
        <v>72</v>
      </c>
      <c t="s" s="30" r="J1907">
        <v>157</v>
      </c>
      <c t="s" s="30" r="K1907">
        <v>134</v>
      </c>
      <c t="s" s="30" r="L1907">
        <v>151</v>
      </c>
      <c s="30" r="M1907">
        <v>25</v>
      </c>
      <c s="26" r="N1907">
        <v>2.9</v>
      </c>
      <c s="23" r="O1907">
        <v>0.009</v>
      </c>
      <c s="7" r="P1907"/>
      <c s="7" r="Q1907"/>
      <c s="7" r="R1907">
        <f>IF((P1907&gt;0),O1907,0)</f>
        <v>0</v>
      </c>
      <c t="str" r="S1907">
        <f>CONCATENATE(F1907,E1907)</f>
        <v>NON FTLNON FTL</v>
      </c>
    </row>
    <row r="1908">
      <c t="s" s="7" r="A1908">
        <v>201</v>
      </c>
      <c s="7" r="B1908">
        <v>1935</v>
      </c>
      <c s="30" r="C1908">
        <v>7</v>
      </c>
      <c t="s" s="30" r="D1908">
        <v>136</v>
      </c>
      <c t="s" s="30" r="E1908">
        <v>4</v>
      </c>
      <c t="s" s="30" r="F1908">
        <v>4</v>
      </c>
      <c t="s" s="30" r="G1908">
        <v>267</v>
      </c>
      <c t="str" s="12" r="H1908">
        <f>HYPERLINK("http://sofifa.com/en/fifa13winter/player/148341-miralem-sulejmani","M. Sulejmani")</f>
        <v>M. Sulejmani</v>
      </c>
      <c s="30" r="I1908">
        <v>74</v>
      </c>
      <c t="s" s="30" r="J1908">
        <v>157</v>
      </c>
      <c t="s" s="30" r="K1908">
        <v>172</v>
      </c>
      <c t="s" s="30" r="L1908">
        <v>137</v>
      </c>
      <c s="30" r="M1908">
        <v>23</v>
      </c>
      <c s="26" r="N1908">
        <v>3.9</v>
      </c>
      <c s="23" r="O1908">
        <v>0.01</v>
      </c>
      <c s="7" r="P1908"/>
      <c s="7" r="Q1908"/>
      <c s="7" r="R1908">
        <f>IF((P1908&gt;0),O1908,0)</f>
        <v>0</v>
      </c>
      <c t="str" r="S1908">
        <f>CONCATENATE(F1908,E1908)</f>
        <v>NON FTLNON FTL</v>
      </c>
    </row>
    <row r="1909">
      <c t="s" s="7" r="A1909">
        <v>201</v>
      </c>
      <c s="7" r="B1909">
        <v>1936</v>
      </c>
      <c s="30" r="C1909">
        <v>43</v>
      </c>
      <c t="s" s="30" r="D1909">
        <v>147</v>
      </c>
      <c t="s" s="30" r="E1909">
        <v>4</v>
      </c>
      <c t="s" s="30" r="F1909">
        <v>4</v>
      </c>
      <c t="s" s="30" r="G1909">
        <v>267</v>
      </c>
      <c t="str" s="12" r="H1909">
        <f>HYPERLINK("http://sofifa.com/en/fifa13winter/player/149962-ilan-boccara","I. Boccara")</f>
        <v>I. Boccara</v>
      </c>
      <c s="30" r="I1909">
        <v>66</v>
      </c>
      <c t="s" s="30" r="J1909">
        <v>154</v>
      </c>
      <c t="s" s="30" r="K1909">
        <v>118</v>
      </c>
      <c t="s" s="30" r="L1909">
        <v>119</v>
      </c>
      <c s="30" r="M1909">
        <v>19</v>
      </c>
      <c s="26" r="N1909">
        <v>1.2</v>
      </c>
      <c s="23" r="O1909">
        <v>0.004</v>
      </c>
      <c s="7" r="P1909"/>
      <c s="7" r="Q1909"/>
      <c s="7" r="R1909">
        <f>IF((P1909&gt;0),O1909,0)</f>
        <v>0</v>
      </c>
      <c t="str" r="S1909">
        <f>CONCATENATE(F1909,E1909)</f>
        <v>NON FTLNON FTL</v>
      </c>
    </row>
    <row r="1910">
      <c t="s" s="7" r="A1910">
        <v>201</v>
      </c>
      <c s="7" r="B1910">
        <v>1937</v>
      </c>
      <c s="30" r="C1910">
        <v>30</v>
      </c>
      <c t="s" s="30" r="D1910">
        <v>147</v>
      </c>
      <c t="s" s="30" r="E1910">
        <v>4</v>
      </c>
      <c t="s" s="30" r="F1910">
        <v>4</v>
      </c>
      <c t="s" s="30" r="G1910">
        <v>267</v>
      </c>
      <c t="str" s="12" r="H1910">
        <f>HYPERLINK("http://sofifa.com/en/fifa13winter/player/150357-mickey-van-der-hart","M. van der Hart")</f>
        <v>M. van der Hart</v>
      </c>
      <c s="30" r="I1910">
        <v>64</v>
      </c>
      <c t="s" s="30" r="J1910">
        <v>106</v>
      </c>
      <c t="s" s="30" r="K1910">
        <v>134</v>
      </c>
      <c t="s" s="30" r="L1910">
        <v>192</v>
      </c>
      <c s="30" r="M1910">
        <v>18</v>
      </c>
      <c s="26" r="N1910">
        <v>0.8</v>
      </c>
      <c s="23" r="O1910">
        <v>0.003</v>
      </c>
      <c s="7" r="P1910"/>
      <c s="7" r="Q1910"/>
      <c s="7" r="R1910">
        <f>IF((P1910&gt;0),O1910,0)</f>
        <v>0</v>
      </c>
      <c t="str" r="S1910">
        <f>CONCATENATE(F1910,E1910)</f>
        <v>NON FTLNON FTL</v>
      </c>
    </row>
    <row r="1911">
      <c t="s" s="7" r="A1911">
        <v>201</v>
      </c>
      <c s="7" r="B1911">
        <v>1938</v>
      </c>
      <c s="30" r="C1911">
        <v>34</v>
      </c>
      <c t="s" s="30" r="D1911">
        <v>147</v>
      </c>
      <c t="s" s="30" r="E1911">
        <v>4</v>
      </c>
      <c t="s" s="30" r="F1911">
        <v>4</v>
      </c>
      <c t="s" s="30" r="G1911">
        <v>267</v>
      </c>
      <c t="str" s="12" r="H1911">
        <f>HYPERLINK("http://sofifa.com/en/fifa13winter/player/149955-stefano-denswil","S. Denswil")</f>
        <v>S. Denswil</v>
      </c>
      <c s="30" r="I1911">
        <v>67</v>
      </c>
      <c t="s" s="30" r="J1911">
        <v>113</v>
      </c>
      <c t="s" s="30" r="K1911">
        <v>132</v>
      </c>
      <c t="s" s="30" r="L1911">
        <v>137</v>
      </c>
      <c s="30" r="M1911">
        <v>19</v>
      </c>
      <c s="26" r="N1911">
        <v>1.5</v>
      </c>
      <c s="23" r="O1911">
        <v>0.004</v>
      </c>
      <c s="7" r="P1911"/>
      <c s="7" r="Q1911"/>
      <c s="7" r="R1911">
        <f>IF((P1911&gt;0),O1911,0)</f>
        <v>0</v>
      </c>
      <c t="str" r="S1911">
        <f>CONCATENATE(F1911,E1911)</f>
        <v>NON FTLNON FTL</v>
      </c>
    </row>
    <row r="1912">
      <c t="s" s="7" r="A1912">
        <v>201</v>
      </c>
      <c s="7" r="B1912">
        <v>1939</v>
      </c>
      <c s="30" r="C1912">
        <v>32</v>
      </c>
      <c t="s" s="30" r="D1912">
        <v>147</v>
      </c>
      <c t="s" s="30" r="E1912">
        <v>4</v>
      </c>
      <c t="s" s="30" r="F1912">
        <v>4</v>
      </c>
      <c t="s" s="30" r="G1912">
        <v>267</v>
      </c>
      <c t="str" s="12" r="H1912">
        <f>HYPERLINK("http://sofifa.com/en/fifa13winter/player/149607-ruben-ligeon","R. Ligeon")</f>
        <v>R. Ligeon</v>
      </c>
      <c s="30" r="I1912">
        <v>64</v>
      </c>
      <c t="s" s="30" r="J1912">
        <v>109</v>
      </c>
      <c t="s" s="30" r="K1912">
        <v>148</v>
      </c>
      <c t="s" s="30" r="L1912">
        <v>149</v>
      </c>
      <c s="30" r="M1912">
        <v>20</v>
      </c>
      <c s="26" r="N1912">
        <v>0.9</v>
      </c>
      <c s="23" r="O1912">
        <v>0.004</v>
      </c>
      <c s="7" r="P1912"/>
      <c s="7" r="Q1912"/>
      <c s="7" r="R1912">
        <f>IF((P1912&gt;0),O1912,0)</f>
        <v>0</v>
      </c>
      <c t="str" r="S1912">
        <f>CONCATENATE(F1912,E1912)</f>
        <v>NON FTLNON FTL</v>
      </c>
    </row>
    <row r="1913">
      <c t="s" s="7" r="A1913">
        <v>201</v>
      </c>
      <c s="7" r="B1913">
        <v>1940</v>
      </c>
      <c s="30" r="C1913">
        <v>16</v>
      </c>
      <c t="s" s="30" r="D1913">
        <v>147</v>
      </c>
      <c t="s" s="30" r="E1913">
        <v>4</v>
      </c>
      <c t="s" s="30" r="F1913">
        <v>4</v>
      </c>
      <c t="s" s="30" r="G1913">
        <v>267</v>
      </c>
      <c t="str" s="12" r="H1913">
        <f>HYPERLINK("http://sofifa.com/en/fifa13winter/player/150449-lucas-andersen","L. Andersen")</f>
        <v>L. Andersen</v>
      </c>
      <c s="30" r="I1913">
        <v>68</v>
      </c>
      <c t="s" s="30" r="J1913">
        <v>157</v>
      </c>
      <c t="s" s="30" r="K1913">
        <v>167</v>
      </c>
      <c t="s" s="30" r="L1913">
        <v>146</v>
      </c>
      <c s="30" r="M1913">
        <v>17</v>
      </c>
      <c s="26" r="N1913">
        <v>2</v>
      </c>
      <c s="23" r="O1913">
        <v>0.004</v>
      </c>
      <c s="7" r="P1913"/>
      <c s="7" r="Q1913"/>
      <c s="7" r="R1913">
        <f>IF((P1913&gt;0),O1913,0)</f>
        <v>0</v>
      </c>
      <c t="str" r="S1913">
        <f>CONCATENATE(F1913,E1913)</f>
        <v>NON FTLNON FTL</v>
      </c>
    </row>
    <row r="1914">
      <c t="s" s="7" r="A1914">
        <v>201</v>
      </c>
      <c s="7" r="B1914">
        <v>1941</v>
      </c>
      <c s="30" r="C1914">
        <v>18</v>
      </c>
      <c t="s" s="30" r="D1914">
        <v>147</v>
      </c>
      <c t="s" s="30" r="E1914">
        <v>4</v>
      </c>
      <c t="s" s="30" r="F1914">
        <v>4</v>
      </c>
      <c t="s" s="30" r="G1914">
        <v>267</v>
      </c>
      <c t="str" s="12" r="H1914">
        <f>HYPERLINK("http://sofifa.com/en/fifa13winter/player/149880-davy-klaassen","D. Klaassen")</f>
        <v>D. Klaassen</v>
      </c>
      <c s="30" r="I1914">
        <v>66</v>
      </c>
      <c t="s" s="30" r="J1914">
        <v>162</v>
      </c>
      <c t="s" s="30" r="K1914">
        <v>118</v>
      </c>
      <c t="s" s="30" r="L1914">
        <v>122</v>
      </c>
      <c s="30" r="M1914">
        <v>19</v>
      </c>
      <c s="26" r="N1914">
        <v>1.5</v>
      </c>
      <c s="23" r="O1914">
        <v>0.004</v>
      </c>
      <c s="7" r="P1914"/>
      <c s="7" r="Q1914"/>
      <c s="7" r="R1914">
        <f>IF((P1914&gt;0),O1914,0)</f>
        <v>0</v>
      </c>
      <c t="str" r="S1914">
        <f>CONCATENATE(F1914,E1914)</f>
        <v>NON FTLNON FTL</v>
      </c>
    </row>
    <row r="1915">
      <c t="s" s="7" r="A1915">
        <v>201</v>
      </c>
      <c s="7" r="B1915">
        <v>1942</v>
      </c>
      <c s="30" r="C1915">
        <v>40</v>
      </c>
      <c t="s" s="30" r="D1915">
        <v>147</v>
      </c>
      <c t="s" s="30" r="E1915">
        <v>4</v>
      </c>
      <c t="s" s="30" r="F1915">
        <v>4</v>
      </c>
      <c t="s" s="30" r="G1915">
        <v>267</v>
      </c>
      <c t="str" s="12" r="H1915">
        <f>HYPERLINK("http://sofifa.com/en/fifa13winter/player/150043-fabian-sporkslede","F. Sporkslede")</f>
        <v>F. Sporkslede</v>
      </c>
      <c s="30" r="I1915">
        <v>65</v>
      </c>
      <c t="s" s="30" r="J1915">
        <v>154</v>
      </c>
      <c t="s" s="30" r="K1915">
        <v>114</v>
      </c>
      <c t="s" s="30" r="L1915">
        <v>122</v>
      </c>
      <c s="30" r="M1915">
        <v>19</v>
      </c>
      <c s="26" r="N1915">
        <v>1</v>
      </c>
      <c s="23" r="O1915">
        <v>0.004</v>
      </c>
      <c s="7" r="P1915"/>
      <c s="7" r="Q1915"/>
      <c s="7" r="R1915">
        <f>IF((P1915&gt;0),O1915,0)</f>
        <v>0</v>
      </c>
      <c t="str" r="S1915">
        <f>CONCATENATE(F1915,E1915)</f>
        <v>NON FTLNON FTL</v>
      </c>
    </row>
    <row r="1916">
      <c t="s" s="7" r="A1916">
        <v>201</v>
      </c>
      <c s="7" r="B1916">
        <v>1943</v>
      </c>
      <c s="30" r="C1916">
        <v>1</v>
      </c>
      <c t="s" s="30" r="D1916">
        <v>106</v>
      </c>
      <c t="s" s="30" r="E1916">
        <v>4</v>
      </c>
      <c t="s" s="30" r="F1916">
        <v>4</v>
      </c>
      <c t="s" s="30" r="G1916">
        <v>268</v>
      </c>
      <c t="str" s="12" r="H1916">
        <f>HYPERLINK("http://sofifa.com/en/fifa13winter/player/147820-benoit-costil","B. Costil")</f>
        <v>B. Costil</v>
      </c>
      <c s="30" r="I1916">
        <v>79</v>
      </c>
      <c t="s" s="30" r="J1916">
        <v>106</v>
      </c>
      <c t="s" s="30" r="K1916">
        <v>155</v>
      </c>
      <c t="s" s="30" r="L1916">
        <v>108</v>
      </c>
      <c s="30" r="M1916">
        <v>25</v>
      </c>
      <c s="26" r="N1916">
        <v>6.1</v>
      </c>
      <c s="23" r="O1916">
        <v>0.022</v>
      </c>
      <c s="7" r="P1916"/>
      <c s="7" r="Q1916"/>
      <c s="7" r="R1916">
        <f>IF((P1916&gt;0),O1916,0)</f>
        <v>0</v>
      </c>
      <c t="str" r="S1916">
        <f>CONCATENATE(F1916,E1916)</f>
        <v>NON FTLNON FTL</v>
      </c>
    </row>
    <row r="1917">
      <c t="s" s="7" r="A1917">
        <v>201</v>
      </c>
      <c s="7" r="B1917">
        <v>1944</v>
      </c>
      <c s="30" r="C1917">
        <v>29</v>
      </c>
      <c t="s" s="30" r="D1917">
        <v>109</v>
      </c>
      <c t="s" s="30" r="E1917">
        <v>4</v>
      </c>
      <c t="s" s="30" r="F1917">
        <v>4</v>
      </c>
      <c t="s" s="30" r="G1917">
        <v>268</v>
      </c>
      <c t="str" s="12" r="H1917">
        <f>HYPERLINK("http://sofifa.com/en/fifa13winter/player/147455-romain-danze","R. Danzé")</f>
        <v>R. Danzé</v>
      </c>
      <c s="30" r="I1917">
        <v>74</v>
      </c>
      <c t="s" s="30" r="J1917">
        <v>109</v>
      </c>
      <c t="s" s="30" r="K1917">
        <v>167</v>
      </c>
      <c t="s" s="30" r="L1917">
        <v>119</v>
      </c>
      <c s="30" r="M1917">
        <v>26</v>
      </c>
      <c s="26" r="N1917">
        <v>3.1</v>
      </c>
      <c s="23" r="O1917">
        <v>0.011</v>
      </c>
      <c s="7" r="P1917"/>
      <c s="7" r="Q1917"/>
      <c s="7" r="R1917">
        <f>IF((P1917&gt;0),O1917,0)</f>
        <v>0</v>
      </c>
      <c t="str" r="S1917">
        <f>CONCATENATE(F1917,E1917)</f>
        <v>NON FTLNON FTL</v>
      </c>
    </row>
    <row r="1918">
      <c t="s" s="7" r="A1918">
        <v>201</v>
      </c>
      <c s="7" r="B1918">
        <v>1945</v>
      </c>
      <c s="30" r="C1918">
        <v>2</v>
      </c>
      <c t="s" s="30" r="D1918">
        <v>112</v>
      </c>
      <c t="s" s="30" r="E1918">
        <v>4</v>
      </c>
      <c t="s" s="30" r="F1918">
        <v>4</v>
      </c>
      <c t="s" s="30" r="G1918">
        <v>268</v>
      </c>
      <c t="str" s="12" r="H1918">
        <f>HYPERLINK("http://sofifa.com/en/fifa13winter/player/148668-kevin-theophile-catherine","K. Théophile-Catherine")</f>
        <v>K. Théophile-Catherine</v>
      </c>
      <c s="30" r="I1918">
        <v>74</v>
      </c>
      <c t="s" s="30" r="J1918">
        <v>117</v>
      </c>
      <c t="s" s="30" r="K1918">
        <v>114</v>
      </c>
      <c t="s" s="30" r="L1918">
        <v>138</v>
      </c>
      <c s="30" r="M1918">
        <v>22</v>
      </c>
      <c s="26" r="N1918">
        <v>3.4</v>
      </c>
      <c s="23" r="O1918">
        <v>0.01</v>
      </c>
      <c s="7" r="P1918"/>
      <c s="7" r="Q1918"/>
      <c s="7" r="R1918">
        <f>IF((P1918&gt;0),O1918,0)</f>
        <v>0</v>
      </c>
      <c t="str" r="S1918">
        <f>CONCATENATE(F1918,E1918)</f>
        <v>NON FTLNON FTL</v>
      </c>
    </row>
    <row r="1919">
      <c t="s" s="7" r="A1919">
        <v>201</v>
      </c>
      <c s="7" r="B1919">
        <v>1946</v>
      </c>
      <c s="30" r="C1919">
        <v>5</v>
      </c>
      <c t="s" s="30" r="D1919">
        <v>116</v>
      </c>
      <c t="s" s="30" r="E1919">
        <v>4</v>
      </c>
      <c t="s" s="30" r="F1919">
        <v>4</v>
      </c>
      <c t="s" s="30" r="G1919">
        <v>268</v>
      </c>
      <c t="str" s="12" r="H1919">
        <f>HYPERLINK("http://sofifa.com/en/fifa13winter/player/148551-jean-armel-kana-biyik","J. Kana-Biyik")</f>
        <v>J. Kana-Biyik</v>
      </c>
      <c s="30" r="I1919">
        <v>76</v>
      </c>
      <c t="s" s="30" r="J1919">
        <v>113</v>
      </c>
      <c t="s" s="30" r="K1919">
        <v>110</v>
      </c>
      <c t="s" s="30" r="L1919">
        <v>178</v>
      </c>
      <c s="30" r="M1919">
        <v>23</v>
      </c>
      <c s="26" r="N1919">
        <v>5.5</v>
      </c>
      <c s="23" r="O1919">
        <v>0.014</v>
      </c>
      <c s="7" r="P1919"/>
      <c s="7" r="Q1919"/>
      <c s="7" r="R1919">
        <f>IF((P1919&gt;0),O1919,0)</f>
        <v>0</v>
      </c>
      <c t="str" r="S1919">
        <f>CONCATENATE(F1919,E1919)</f>
        <v>NON FTLNON FTL</v>
      </c>
    </row>
    <row r="1920">
      <c t="s" s="7" r="A1920">
        <v>201</v>
      </c>
      <c s="7" r="B1920">
        <v>1947</v>
      </c>
      <c s="30" r="C1920">
        <v>3</v>
      </c>
      <c t="s" s="30" r="D1920">
        <v>117</v>
      </c>
      <c t="s" s="30" r="E1920">
        <v>4</v>
      </c>
      <c t="s" s="30" r="F1920">
        <v>4</v>
      </c>
      <c t="s" s="30" r="G1920">
        <v>268</v>
      </c>
      <c t="str" s="12" r="H1920">
        <f>HYPERLINK("http://sofifa.com/en/fifa13winter/player/149243-chris-mavinga","C. Mavinga")</f>
        <v>C. Mavinga</v>
      </c>
      <c s="30" r="I1920">
        <v>73</v>
      </c>
      <c t="s" s="30" r="J1920">
        <v>117</v>
      </c>
      <c t="s" s="30" r="K1920">
        <v>110</v>
      </c>
      <c t="s" s="30" r="L1920">
        <v>161</v>
      </c>
      <c s="30" r="M1920">
        <v>21</v>
      </c>
      <c s="26" r="N1920">
        <v>3.1</v>
      </c>
      <c s="23" r="O1920">
        <v>0.009</v>
      </c>
      <c s="7" r="P1920"/>
      <c s="7" r="Q1920"/>
      <c s="7" r="R1920">
        <f>IF((P1920&gt;0),O1920,0)</f>
        <v>0</v>
      </c>
      <c t="str" r="S1920">
        <f>CONCATENATE(F1920,E1920)</f>
        <v>NON FTLNON FTL</v>
      </c>
    </row>
    <row r="1921">
      <c t="s" s="7" r="A1921">
        <v>201</v>
      </c>
      <c s="7" r="B1921">
        <v>1948</v>
      </c>
      <c s="30" r="C1921">
        <v>26</v>
      </c>
      <c t="s" s="30" r="D1921">
        <v>186</v>
      </c>
      <c t="s" s="30" r="E1921">
        <v>4</v>
      </c>
      <c t="s" s="30" r="F1921">
        <v>4</v>
      </c>
      <c t="s" s="30" r="G1921">
        <v>268</v>
      </c>
      <c t="str" s="12" r="H1921">
        <f>HYPERLINK("http://sofifa.com/en/fifa13winter/player/148963-vincent-pajot","V. Pajot")</f>
        <v>V. Pajot</v>
      </c>
      <c s="30" r="I1921">
        <v>72</v>
      </c>
      <c t="s" s="30" r="J1921">
        <v>154</v>
      </c>
      <c t="s" s="30" r="K1921">
        <v>118</v>
      </c>
      <c t="s" s="30" r="L1921">
        <v>125</v>
      </c>
      <c s="30" r="M1921">
        <v>22</v>
      </c>
      <c s="26" r="N1921">
        <v>2.6</v>
      </c>
      <c s="23" r="O1921">
        <v>0.008</v>
      </c>
      <c s="7" r="P1921"/>
      <c s="7" r="Q1921"/>
      <c s="7" r="R1921">
        <f>IF((P1921&gt;0),O1921,0)</f>
        <v>0</v>
      </c>
      <c t="str" r="S1921">
        <f>CONCATENATE(F1921,E1921)</f>
        <v>NON FTLNON FTL</v>
      </c>
    </row>
    <row r="1922">
      <c t="s" s="7" r="A1922">
        <v>201</v>
      </c>
      <c s="7" r="B1922">
        <v>1949</v>
      </c>
      <c s="30" r="C1922">
        <v>15</v>
      </c>
      <c t="s" s="30" r="D1922">
        <v>174</v>
      </c>
      <c t="s" s="30" r="E1922">
        <v>4</v>
      </c>
      <c t="s" s="30" r="F1922">
        <v>4</v>
      </c>
      <c t="s" s="30" r="G1922">
        <v>268</v>
      </c>
      <c t="str" s="12" r="H1922">
        <f>HYPERLINK("http://sofifa.com/en/fifa13winter/player/146324-jean-ii-makoun","J. Makoun")</f>
        <v>J. Makoun</v>
      </c>
      <c s="30" r="I1922">
        <v>75</v>
      </c>
      <c t="s" s="30" r="J1922">
        <v>154</v>
      </c>
      <c t="s" s="30" r="K1922">
        <v>130</v>
      </c>
      <c t="s" s="30" r="L1922">
        <v>111</v>
      </c>
      <c s="30" r="M1922">
        <v>29</v>
      </c>
      <c s="26" r="N1922">
        <v>3.5</v>
      </c>
      <c s="23" r="O1922">
        <v>0.014</v>
      </c>
      <c s="7" r="P1922"/>
      <c s="7" r="Q1922"/>
      <c s="7" r="R1922">
        <f>IF((P1922&gt;0),O1922,0)</f>
        <v>0</v>
      </c>
      <c t="str" r="S1922">
        <f>CONCATENATE(F1922,E1922)</f>
        <v>NON FTLNON FTL</v>
      </c>
    </row>
    <row r="1923">
      <c t="s" s="7" r="A1923">
        <v>201</v>
      </c>
      <c s="7" r="B1923">
        <v>1950</v>
      </c>
      <c s="30" r="C1923">
        <v>7</v>
      </c>
      <c t="s" s="30" r="D1923">
        <v>120</v>
      </c>
      <c t="s" s="30" r="E1923">
        <v>4</v>
      </c>
      <c t="s" s="30" r="F1923">
        <v>4</v>
      </c>
      <c t="s" s="30" r="G1923">
        <v>268</v>
      </c>
      <c t="str" s="12" r="H1923">
        <f>HYPERLINK("http://sofifa.com/en/fifa13winter/player/147373-jonathan-pitroipa","J. Pitroipa")</f>
        <v>J. Pitroipa</v>
      </c>
      <c s="30" r="I1923">
        <v>77</v>
      </c>
      <c t="s" s="30" r="J1923">
        <v>170</v>
      </c>
      <c t="s" s="30" r="K1923">
        <v>172</v>
      </c>
      <c t="s" s="30" r="L1923">
        <v>164</v>
      </c>
      <c s="30" r="M1923">
        <v>26</v>
      </c>
      <c s="26" r="N1923">
        <v>6.1</v>
      </c>
      <c s="23" r="O1923">
        <v>0.017</v>
      </c>
      <c s="7" r="P1923"/>
      <c s="7" r="Q1923"/>
      <c s="7" r="R1923">
        <f>IF((P1923&gt;0),O1923,0)</f>
        <v>0</v>
      </c>
      <c t="str" r="S1923">
        <f>CONCATENATE(F1923,E1923)</f>
        <v>NON FTLNON FTL</v>
      </c>
    </row>
    <row r="1924">
      <c t="s" s="7" r="A1924">
        <v>201</v>
      </c>
      <c s="7" r="B1924">
        <v>1951</v>
      </c>
      <c s="30" r="C1924">
        <v>10</v>
      </c>
      <c t="s" s="30" r="D1924">
        <v>128</v>
      </c>
      <c t="s" s="30" r="E1924">
        <v>4</v>
      </c>
      <c t="s" s="30" r="F1924">
        <v>4</v>
      </c>
      <c t="s" s="30" r="G1924">
        <v>268</v>
      </c>
      <c t="str" s="12" r="H1924">
        <f>HYPERLINK("http://sofifa.com/en/fifa13winter/player/149095-sadio-diallo","S. Diallo")</f>
        <v>S. Diallo</v>
      </c>
      <c s="30" r="I1924">
        <v>73</v>
      </c>
      <c t="s" s="30" r="J1924">
        <v>162</v>
      </c>
      <c t="s" s="30" r="K1924">
        <v>143</v>
      </c>
      <c t="s" s="30" r="L1924">
        <v>137</v>
      </c>
      <c s="30" r="M1924">
        <v>21</v>
      </c>
      <c s="26" r="N1924">
        <v>3.8</v>
      </c>
      <c s="23" r="O1924">
        <v>0.009</v>
      </c>
      <c s="7" r="P1924"/>
      <c s="7" r="Q1924"/>
      <c s="7" r="R1924">
        <f>IF((P1924&gt;0),O1924,0)</f>
        <v>0</v>
      </c>
      <c t="str" r="S1924">
        <f>CONCATENATE(F1924,E1924)</f>
        <v>NON FTLNON FTL</v>
      </c>
    </row>
    <row r="1925">
      <c t="s" s="7" r="A1925">
        <v>201</v>
      </c>
      <c s="7" r="B1925">
        <v>1952</v>
      </c>
      <c s="30" r="C1925">
        <v>8</v>
      </c>
      <c t="s" s="30" r="D1925">
        <v>162</v>
      </c>
      <c t="s" s="30" r="E1925">
        <v>4</v>
      </c>
      <c t="s" s="30" r="F1925">
        <v>4</v>
      </c>
      <c t="s" s="30" r="G1925">
        <v>268</v>
      </c>
      <c t="str" s="12" r="H1925">
        <f>HYPERLINK("http://sofifa.com/en/fifa13winter/player/145996-julien-feret","J. Féret")</f>
        <v>J. Féret</v>
      </c>
      <c s="30" r="I1925">
        <v>79</v>
      </c>
      <c t="s" s="30" r="J1925">
        <v>162</v>
      </c>
      <c t="s" s="30" r="K1925">
        <v>155</v>
      </c>
      <c t="s" s="30" r="L1925">
        <v>160</v>
      </c>
      <c s="30" r="M1925">
        <v>30</v>
      </c>
      <c s="26" r="N1925">
        <v>7</v>
      </c>
      <c s="23" r="O1925">
        <v>0.025</v>
      </c>
      <c s="7" r="P1925"/>
      <c s="7" r="Q1925"/>
      <c s="7" r="R1925">
        <f>IF((P1925&gt;0),O1925,0)</f>
        <v>0</v>
      </c>
      <c t="str" r="S1925">
        <f>CONCATENATE(F1925,E1925)</f>
        <v>NON FTLNON FTL</v>
      </c>
    </row>
    <row r="1926">
      <c t="s" s="7" r="A1926">
        <v>201</v>
      </c>
      <c s="7" r="B1926">
        <v>1953</v>
      </c>
      <c s="30" r="C1926">
        <v>9</v>
      </c>
      <c t="s" s="30" r="D1926">
        <v>129</v>
      </c>
      <c t="s" s="30" r="E1926">
        <v>4</v>
      </c>
      <c t="s" s="30" r="F1926">
        <v>4</v>
      </c>
      <c t="s" s="30" r="G1926">
        <v>268</v>
      </c>
      <c t="str" s="12" r="H1926">
        <f>HYPERLINK("http://sofifa.com/en/fifa13winter/player/147692-mevlut-erdinc","M. Erdinç")</f>
        <v>M. Erdinç</v>
      </c>
      <c s="30" r="I1926">
        <v>75</v>
      </c>
      <c t="s" s="30" r="J1926">
        <v>129</v>
      </c>
      <c t="s" s="30" r="K1926">
        <v>150</v>
      </c>
      <c t="s" s="30" r="L1926">
        <v>179</v>
      </c>
      <c s="30" r="M1926">
        <v>25</v>
      </c>
      <c s="26" r="N1926">
        <v>5</v>
      </c>
      <c s="23" r="O1926">
        <v>0.013</v>
      </c>
      <c s="7" r="P1926"/>
      <c s="7" r="Q1926"/>
      <c s="7" r="R1926">
        <f>IF((P1926&gt;0),O1926,0)</f>
        <v>0</v>
      </c>
      <c t="str" r="S1926">
        <f>CONCATENATE(F1926,E1926)</f>
        <v>NON FTLNON FTL</v>
      </c>
    </row>
    <row r="1927">
      <c t="s" s="7" r="A1927">
        <v>201</v>
      </c>
      <c s="7" r="B1927">
        <v>1954</v>
      </c>
      <c s="30" r="C1927">
        <v>18</v>
      </c>
      <c t="s" s="30" r="D1927">
        <v>136</v>
      </c>
      <c t="s" s="30" r="E1927">
        <v>4</v>
      </c>
      <c t="s" s="30" r="F1927">
        <v>4</v>
      </c>
      <c t="s" s="30" r="G1927">
        <v>268</v>
      </c>
      <c t="str" s="12" r="H1927">
        <f>HYPERLINK("http://sofifa.com/en/fifa13winter/player/149504-cheick-diarra","C. Diarra")</f>
        <v>C. Diarra</v>
      </c>
      <c s="30" r="I1927">
        <v>67</v>
      </c>
      <c t="s" s="30" r="J1927">
        <v>129</v>
      </c>
      <c t="s" s="30" r="K1927">
        <v>182</v>
      </c>
      <c t="s" s="30" r="L1927">
        <v>158</v>
      </c>
      <c s="30" r="M1927">
        <v>20</v>
      </c>
      <c s="26" r="N1927">
        <v>1.8</v>
      </c>
      <c s="23" r="O1927">
        <v>0.005</v>
      </c>
      <c s="7" r="P1927"/>
      <c s="7" r="Q1927"/>
      <c s="7" r="R1927">
        <f>IF((P1927&gt;0),O1927,0)</f>
        <v>0</v>
      </c>
      <c t="str" r="S1927">
        <f>CONCATENATE(F1927,E1927)</f>
        <v>NON FTLNON FTL</v>
      </c>
    </row>
    <row r="1928">
      <c t="s" s="7" r="A1928">
        <v>201</v>
      </c>
      <c s="7" r="B1928">
        <v>1955</v>
      </c>
      <c s="30" r="C1928">
        <v>16</v>
      </c>
      <c t="s" s="30" r="D1928">
        <v>136</v>
      </c>
      <c t="s" s="30" r="E1928">
        <v>4</v>
      </c>
      <c t="s" s="30" r="F1928">
        <v>4</v>
      </c>
      <c t="s" s="30" r="G1928">
        <v>268</v>
      </c>
      <c t="str" s="12" r="H1928">
        <f>HYPERLINK("http://sofifa.com/en/fifa13winter/player/149552-abdoulaye-diallo","A. Diallo")</f>
        <v>A. Diallo</v>
      </c>
      <c s="30" r="I1928">
        <v>66</v>
      </c>
      <c t="s" s="30" r="J1928">
        <v>106</v>
      </c>
      <c t="s" s="30" r="K1928">
        <v>169</v>
      </c>
      <c t="s" s="30" r="L1928">
        <v>153</v>
      </c>
      <c s="30" r="M1928">
        <v>20</v>
      </c>
      <c s="26" r="N1928">
        <v>1.1</v>
      </c>
      <c s="23" r="O1928">
        <v>0.004</v>
      </c>
      <c s="7" r="P1928"/>
      <c s="7" r="Q1928"/>
      <c s="7" r="R1928">
        <f>IF((P1928&gt;0),O1928,0)</f>
        <v>0</v>
      </c>
      <c t="str" r="S1928">
        <f>CONCATENATE(F1928,E1928)</f>
        <v>NON FTLNON FTL</v>
      </c>
    </row>
    <row r="1929">
      <c t="s" s="7" r="A1929">
        <v>201</v>
      </c>
      <c s="7" r="B1929">
        <v>1956</v>
      </c>
      <c s="30" r="C1929">
        <v>27</v>
      </c>
      <c t="s" s="30" r="D1929">
        <v>136</v>
      </c>
      <c t="s" s="30" r="E1929">
        <v>4</v>
      </c>
      <c t="s" s="30" r="F1929">
        <v>4</v>
      </c>
      <c t="s" s="30" r="G1929">
        <v>268</v>
      </c>
      <c t="str" s="12" r="H1929">
        <f>HYPERLINK("http://sofifa.com/en/fifa13winter/player/149751-abdoulaye-sane","A. Sané")</f>
        <v>A. Sané</v>
      </c>
      <c s="30" r="I1929">
        <v>64</v>
      </c>
      <c t="s" s="30" r="J1929">
        <v>129</v>
      </c>
      <c t="s" s="30" r="K1929">
        <v>167</v>
      </c>
      <c t="s" s="30" r="L1929">
        <v>146</v>
      </c>
      <c s="30" r="M1929">
        <v>19</v>
      </c>
      <c s="26" r="N1929">
        <v>1.2</v>
      </c>
      <c s="23" r="O1929">
        <v>0.004</v>
      </c>
      <c s="7" r="P1929"/>
      <c s="7" r="Q1929"/>
      <c s="7" r="R1929">
        <f>IF((P1929&gt;0),O1929,0)</f>
        <v>0</v>
      </c>
      <c t="str" r="S1929">
        <f>CONCATENATE(F1929,E1929)</f>
        <v>NON FTLNON FTL</v>
      </c>
    </row>
    <row r="1930">
      <c t="s" s="7" r="A1930">
        <v>201</v>
      </c>
      <c s="7" r="B1930">
        <v>1957</v>
      </c>
      <c s="30" r="C1930">
        <v>24</v>
      </c>
      <c t="s" s="30" r="D1930">
        <v>136</v>
      </c>
      <c t="s" s="30" r="E1930">
        <v>4</v>
      </c>
      <c t="s" s="30" r="F1930">
        <v>4</v>
      </c>
      <c t="s" s="30" r="G1930">
        <v>268</v>
      </c>
      <c t="str" s="12" r="H1930">
        <f>HYPERLINK("http://sofifa.com/en/fifa13winter/player/149910-dimitri-foulquier","D. Foulquier")</f>
        <v>D. Foulquier</v>
      </c>
      <c s="30" r="I1930">
        <v>63</v>
      </c>
      <c t="s" s="30" r="J1930">
        <v>109</v>
      </c>
      <c t="s" s="30" r="K1930">
        <v>110</v>
      </c>
      <c t="s" s="30" r="L1930">
        <v>138</v>
      </c>
      <c s="30" r="M1930">
        <v>19</v>
      </c>
      <c s="26" r="N1930">
        <v>0.8</v>
      </c>
      <c s="23" r="O1930">
        <v>0.003</v>
      </c>
      <c s="7" r="P1930"/>
      <c s="7" r="Q1930"/>
      <c s="7" r="R1930">
        <f>IF((P1930&gt;0),O1930,0)</f>
        <v>0</v>
      </c>
      <c t="str" r="S1930">
        <f>CONCATENATE(F1930,E1930)</f>
        <v>NON FTLNON FTL</v>
      </c>
    </row>
    <row r="1931">
      <c t="s" s="7" r="A1931">
        <v>201</v>
      </c>
      <c s="7" r="B1931">
        <v>1958</v>
      </c>
      <c s="30" r="C1931">
        <v>25</v>
      </c>
      <c t="s" s="30" r="D1931">
        <v>136</v>
      </c>
      <c t="s" s="30" r="E1931">
        <v>4</v>
      </c>
      <c t="s" s="30" r="F1931">
        <v>4</v>
      </c>
      <c t="s" s="30" r="G1931">
        <v>268</v>
      </c>
      <c t="str" s="12" r="H1931">
        <f>HYPERLINK("http://sofifa.com/en/fifa13winter/player/147749-john-boye","J. Boye")</f>
        <v>J. Boye</v>
      </c>
      <c s="30" r="I1931">
        <v>72</v>
      </c>
      <c t="s" s="30" r="J1931">
        <v>113</v>
      </c>
      <c t="s" s="30" r="K1931">
        <v>167</v>
      </c>
      <c t="s" s="30" r="L1931">
        <v>111</v>
      </c>
      <c s="30" r="M1931">
        <v>25</v>
      </c>
      <c s="26" r="N1931">
        <v>2.6</v>
      </c>
      <c s="23" r="O1931">
        <v>0.009</v>
      </c>
      <c s="7" r="P1931"/>
      <c s="7" r="Q1931"/>
      <c s="7" r="R1931">
        <f>IF((P1931&gt;0),O1931,0)</f>
        <v>0</v>
      </c>
      <c t="str" r="S1931">
        <f>CONCATENATE(F1931,E1931)</f>
        <v>NON FTLNON FTL</v>
      </c>
    </row>
    <row r="1932">
      <c t="s" s="7" r="A1932">
        <v>201</v>
      </c>
      <c s="7" r="B1932">
        <v>1959</v>
      </c>
      <c s="30" r="C1932">
        <v>14</v>
      </c>
      <c t="s" s="30" r="D1932">
        <v>136</v>
      </c>
      <c t="s" s="30" r="E1932">
        <v>4</v>
      </c>
      <c t="s" s="30" r="F1932">
        <v>4</v>
      </c>
      <c t="s" s="30" r="G1932">
        <v>268</v>
      </c>
      <c t="str" s="12" r="H1932">
        <f>HYPERLINK("http://sofifa.com/en/fifa13winter/player/150022-axel-ngando","A. Ngando")</f>
        <v>A. Ngando</v>
      </c>
      <c s="30" r="I1932">
        <v>61</v>
      </c>
      <c t="s" s="30" r="J1932">
        <v>162</v>
      </c>
      <c t="s" s="30" r="K1932">
        <v>159</v>
      </c>
      <c t="s" s="30" r="L1932">
        <v>163</v>
      </c>
      <c s="30" r="M1932">
        <v>19</v>
      </c>
      <c s="26" r="N1932">
        <v>0.8</v>
      </c>
      <c s="23" r="O1932">
        <v>0.003</v>
      </c>
      <c s="7" r="P1932"/>
      <c s="7" r="Q1932"/>
      <c s="7" r="R1932">
        <f>IF((P1932&gt;0),O1932,0)</f>
        <v>0</v>
      </c>
      <c t="str" r="S1932">
        <f>CONCATENATE(F1932,E1932)</f>
        <v>NON FTLNON FTL</v>
      </c>
    </row>
    <row r="1933">
      <c t="s" s="7" r="A1933">
        <v>201</v>
      </c>
      <c s="7" r="B1933">
        <v>1960</v>
      </c>
      <c s="30" r="C1933">
        <v>6</v>
      </c>
      <c t="s" s="30" r="D1933">
        <v>136</v>
      </c>
      <c t="s" s="30" r="E1933">
        <v>4</v>
      </c>
      <c t="s" s="30" r="F1933">
        <v>4</v>
      </c>
      <c t="s" s="30" r="G1933">
        <v>268</v>
      </c>
      <c t="str" s="12" r="H1933">
        <f>HYPERLINK("http://sofifa.com/en/fifa13winter/player/145641-alou-diarra","A. Diarra")</f>
        <v>A. Diarra</v>
      </c>
      <c s="30" r="I1933">
        <v>73</v>
      </c>
      <c t="s" s="30" r="J1933">
        <v>154</v>
      </c>
      <c t="s" s="30" r="K1933">
        <v>152</v>
      </c>
      <c t="s" s="30" r="L1933">
        <v>158</v>
      </c>
      <c s="30" r="M1933">
        <v>31</v>
      </c>
      <c s="26" r="N1933">
        <v>2.2</v>
      </c>
      <c s="23" r="O1933">
        <v>0.011</v>
      </c>
      <c s="7" r="P1933"/>
      <c s="7" r="Q1933"/>
      <c s="7" r="R1933">
        <f>IF((P1933&gt;0),O1933,0)</f>
        <v>0</v>
      </c>
      <c t="str" r="S1933">
        <f>CONCATENATE(F1933,E1933)</f>
        <v>NON FTLNON FTL</v>
      </c>
    </row>
    <row r="1934">
      <c t="s" s="7" r="A1934">
        <v>201</v>
      </c>
      <c s="7" r="B1934">
        <v>1961</v>
      </c>
      <c s="30" r="C1934">
        <v>23</v>
      </c>
      <c t="s" s="30" r="D1934">
        <v>136</v>
      </c>
      <c t="s" s="30" r="E1934">
        <v>4</v>
      </c>
      <c t="s" s="30" r="F1934">
        <v>4</v>
      </c>
      <c t="s" s="30" r="G1934">
        <v>268</v>
      </c>
      <c t="str" s="12" r="H1934">
        <f>HYPERLINK("http://sofifa.com/en/fifa13winter/player/145866-herita-ilunga","H. Ilunga")</f>
        <v>H. Ilunga</v>
      </c>
      <c s="30" r="I1934">
        <v>67</v>
      </c>
      <c t="s" s="30" r="J1934">
        <v>117</v>
      </c>
      <c t="s" s="30" r="K1934">
        <v>114</v>
      </c>
      <c t="s" s="30" r="L1934">
        <v>160</v>
      </c>
      <c s="30" r="M1934">
        <v>30</v>
      </c>
      <c s="26" r="N1934">
        <v>1.1</v>
      </c>
      <c s="23" r="O1934">
        <v>0.006</v>
      </c>
      <c s="7" r="P1934"/>
      <c s="7" r="Q1934"/>
      <c s="7" r="R1934">
        <f>IF((P1934&gt;0),O1934,0)</f>
        <v>0</v>
      </c>
      <c t="str" r="S1934">
        <f>CONCATENATE(F1934,E1934)</f>
        <v>NON FTLNON FTL</v>
      </c>
    </row>
    <row r="1935">
      <c t="s" s="7" r="A1935">
        <v>201</v>
      </c>
      <c s="7" r="B1935">
        <v>1962</v>
      </c>
      <c s="30" r="C1935">
        <v>21</v>
      </c>
      <c t="s" s="30" r="D1935">
        <v>136</v>
      </c>
      <c t="s" s="30" r="E1935">
        <v>4</v>
      </c>
      <c t="s" s="30" r="F1935">
        <v>4</v>
      </c>
      <c t="s" s="30" r="G1935">
        <v>268</v>
      </c>
      <c t="str" s="12" r="H1935">
        <f>HYPERLINK("http://sofifa.com/en/fifa13winter/player/146662-victor-hugo-montano","V. Montaño")</f>
        <v>V. Montaño</v>
      </c>
      <c s="30" r="I1935">
        <v>72</v>
      </c>
      <c t="s" s="30" r="J1935">
        <v>129</v>
      </c>
      <c t="s" s="30" r="K1935">
        <v>159</v>
      </c>
      <c t="s" s="30" r="L1935">
        <v>137</v>
      </c>
      <c s="30" r="M1935">
        <v>28</v>
      </c>
      <c s="26" r="N1935">
        <v>2.9</v>
      </c>
      <c s="23" r="O1935">
        <v>0.009</v>
      </c>
      <c s="7" r="P1935"/>
      <c s="7" r="Q1935"/>
      <c s="7" r="R1935">
        <f>IF((P1935&gt;0),O1935,0)</f>
        <v>0</v>
      </c>
      <c t="str" r="S1935">
        <f>CONCATENATE(F1935,E1935)</f>
        <v>NON FTLNON FTL</v>
      </c>
    </row>
    <row r="1936">
      <c t="s" s="7" r="A1936">
        <v>201</v>
      </c>
      <c s="7" r="B1936">
        <v>1963</v>
      </c>
      <c s="30" r="C1936">
        <v>4</v>
      </c>
      <c t="s" s="30" r="D1936">
        <v>136</v>
      </c>
      <c t="s" s="30" r="E1936">
        <v>4</v>
      </c>
      <c t="s" s="30" r="F1936">
        <v>4</v>
      </c>
      <c t="s" s="30" r="G1936">
        <v>268</v>
      </c>
      <c t="str" s="12" r="H1936">
        <f>HYPERLINK("http://sofifa.com/en/fifa13winter/player/147635-onyekachi-apam","O. Apam")</f>
        <v>O. Apam</v>
      </c>
      <c s="30" r="I1936">
        <v>73</v>
      </c>
      <c t="s" s="30" r="J1936">
        <v>113</v>
      </c>
      <c t="s" s="30" r="K1936">
        <v>114</v>
      </c>
      <c t="s" s="30" r="L1936">
        <v>153</v>
      </c>
      <c s="30" r="M1936">
        <v>25</v>
      </c>
      <c s="26" r="N1936">
        <v>3</v>
      </c>
      <c s="23" r="O1936">
        <v>0.01</v>
      </c>
      <c s="7" r="P1936"/>
      <c s="7" r="Q1936"/>
      <c s="7" r="R1936">
        <f>IF((P1936&gt;0),O1936,0)</f>
        <v>0</v>
      </c>
      <c t="str" r="S1936">
        <f>CONCATENATE(F1936,E1936)</f>
        <v>NON FTLNON FTL</v>
      </c>
    </row>
    <row r="1937">
      <c t="s" s="7" r="A1937">
        <v>201</v>
      </c>
      <c s="7" r="B1937">
        <v>1964</v>
      </c>
      <c s="30" r="C1937">
        <v>17</v>
      </c>
      <c t="s" s="30" r="D1937">
        <v>136</v>
      </c>
      <c t="s" s="30" r="E1937">
        <v>4</v>
      </c>
      <c t="s" s="30" r="F1937">
        <v>4</v>
      </c>
      <c t="s" s="30" r="G1937">
        <v>268</v>
      </c>
      <c t="str" s="12" r="H1937">
        <f>HYPERLINK("http://sofifa.com/en/fifa13winter/player/145293-sylvain-armand","S. Armand")</f>
        <v>S. Armand</v>
      </c>
      <c s="30" r="I1937">
        <v>74</v>
      </c>
      <c t="s" s="30" r="J1937">
        <v>117</v>
      </c>
      <c t="s" s="30" r="K1937">
        <v>143</v>
      </c>
      <c t="s" s="30" r="L1937">
        <v>193</v>
      </c>
      <c s="30" r="M1937">
        <v>32</v>
      </c>
      <c s="26" r="N1937">
        <v>2.4</v>
      </c>
      <c s="23" r="O1937">
        <v>0.013</v>
      </c>
      <c s="7" r="P1937"/>
      <c s="7" r="Q1937"/>
      <c s="7" r="R1937">
        <f>IF((P1937&gt;0),O1937,0)</f>
        <v>0</v>
      </c>
      <c t="str" r="S1937">
        <f>CONCATENATE(F1937,E1937)</f>
        <v>NON FTLNON FTL</v>
      </c>
    </row>
    <row r="1938">
      <c t="s" s="7" r="A1938">
        <v>201</v>
      </c>
      <c s="7" r="B1938">
        <v>1965</v>
      </c>
      <c s="30" r="C1938">
        <v>19</v>
      </c>
      <c t="s" s="30" r="D1938">
        <v>136</v>
      </c>
      <c t="s" s="30" r="E1938">
        <v>4</v>
      </c>
      <c t="s" s="30" r="F1938">
        <v>4</v>
      </c>
      <c t="s" s="30" r="G1938">
        <v>268</v>
      </c>
      <c t="str" s="12" r="H1938">
        <f>HYPERLINK("http://sofifa.com/en/fifa13winter/player/148460-romain-alessandrini","R. Alessandrini")</f>
        <v>R. Alessandrini</v>
      </c>
      <c s="30" r="I1938">
        <v>76</v>
      </c>
      <c t="s" s="30" r="J1938">
        <v>128</v>
      </c>
      <c t="s" s="30" r="K1938">
        <v>130</v>
      </c>
      <c t="s" s="30" r="L1938">
        <v>122</v>
      </c>
      <c s="30" r="M1938">
        <v>23</v>
      </c>
      <c s="26" r="N1938">
        <v>6.2</v>
      </c>
      <c s="23" r="O1938">
        <v>0.014</v>
      </c>
      <c s="7" r="P1938"/>
      <c s="7" r="Q1938"/>
      <c s="7" r="R1938">
        <f>IF((P1938&gt;0),O1938,0)</f>
        <v>0</v>
      </c>
      <c t="str" r="S1938">
        <f>CONCATENATE(F1938,E1938)</f>
        <v>NON FTLNON FTL</v>
      </c>
    </row>
    <row r="1939">
      <c t="s" s="7" r="A1939">
        <v>201</v>
      </c>
      <c s="7" r="B1939">
        <v>1966</v>
      </c>
      <c s="30" r="C1939">
        <v>36</v>
      </c>
      <c t="s" s="30" r="D1939">
        <v>147</v>
      </c>
      <c t="s" s="30" r="E1939">
        <v>4</v>
      </c>
      <c t="s" s="30" r="F1939">
        <v>4</v>
      </c>
      <c t="s" s="30" r="G1939">
        <v>268</v>
      </c>
      <c t="str" s="12" r="H1939">
        <f>HYPERLINK("http://sofifa.com/en/fifa13winter/player/150667-wesley-said","W. Saïd")</f>
        <v>W. Saïd</v>
      </c>
      <c s="30" r="I1939">
        <v>60</v>
      </c>
      <c t="s" s="30" r="J1939">
        <v>129</v>
      </c>
      <c t="s" s="30" r="K1939">
        <v>195</v>
      </c>
      <c t="s" s="30" r="L1939">
        <v>149</v>
      </c>
      <c s="30" r="M1939">
        <v>17</v>
      </c>
      <c s="26" r="N1939">
        <v>0.7</v>
      </c>
      <c s="23" r="O1939">
        <v>0.002</v>
      </c>
      <c s="7" r="P1939"/>
      <c s="7" r="Q1939"/>
      <c s="7" r="R1939">
        <f>IF((P1939&gt;0),O1939,0)</f>
        <v>0</v>
      </c>
      <c t="str" r="S1939">
        <f>CONCATENATE(F1939,E1939)</f>
        <v>NON FTLNON FTL</v>
      </c>
    </row>
    <row r="1940">
      <c t="s" s="7" r="A1940">
        <v>201</v>
      </c>
      <c s="7" r="B1940">
        <v>1967</v>
      </c>
      <c s="30" r="C1940">
        <v>12</v>
      </c>
      <c t="s" s="30" r="D1940">
        <v>147</v>
      </c>
      <c t="s" s="30" r="E1940">
        <v>4</v>
      </c>
      <c t="s" s="30" r="F1940">
        <v>4</v>
      </c>
      <c t="s" s="30" r="G1940">
        <v>268</v>
      </c>
      <c t="str" s="12" r="H1940">
        <f>HYPERLINK("http://sofifa.com/en/fifa13winter/player/149545-ejike-uzoenyi","E. Uzoenyi")</f>
        <v>E. Uzoenyi</v>
      </c>
      <c s="30" r="I1940">
        <v>66</v>
      </c>
      <c t="s" s="30" r="J1940">
        <v>170</v>
      </c>
      <c t="s" s="30" r="K1940">
        <v>148</v>
      </c>
      <c t="s" s="30" r="L1940">
        <v>168</v>
      </c>
      <c s="30" r="M1940">
        <v>20</v>
      </c>
      <c s="26" r="N1940">
        <v>1.4</v>
      </c>
      <c s="23" r="O1940">
        <v>0.004</v>
      </c>
      <c s="7" r="P1940"/>
      <c s="7" r="Q1940"/>
      <c s="7" r="R1940">
        <f>IF((P1940&gt;0),O1940,0)</f>
        <v>0</v>
      </c>
      <c t="str" r="S1940">
        <f>CONCATENATE(F1940,E1940)</f>
        <v>NON FTLNON FTL</v>
      </c>
    </row>
    <row r="1941">
      <c t="s" s="7" r="A1941">
        <v>201</v>
      </c>
      <c s="7" r="B1941">
        <v>1968</v>
      </c>
      <c s="30" r="C1941">
        <v>35</v>
      </c>
      <c t="s" s="30" r="D1941">
        <v>147</v>
      </c>
      <c t="s" s="30" r="E1941">
        <v>4</v>
      </c>
      <c t="s" s="30" r="F1941">
        <v>4</v>
      </c>
      <c t="s" s="30" r="G1941">
        <v>268</v>
      </c>
      <c t="str" s="12" r="H1941">
        <f>HYPERLINK("http://sofifa.com/en/fifa13winter/player/150418-steven-moreira","S. Moreira")</f>
        <v>S. Moreira</v>
      </c>
      <c s="30" r="I1941">
        <v>59</v>
      </c>
      <c t="s" s="30" r="J1941">
        <v>109</v>
      </c>
      <c t="s" s="30" r="K1941">
        <v>172</v>
      </c>
      <c t="s" s="30" r="L1941">
        <v>163</v>
      </c>
      <c s="30" r="M1941">
        <v>18</v>
      </c>
      <c s="26" r="N1941">
        <v>0.4</v>
      </c>
      <c s="23" r="O1941">
        <v>0.002</v>
      </c>
      <c s="7" r="P1941"/>
      <c s="7" r="Q1941"/>
      <c s="7" r="R1941">
        <f>IF((P1941&gt;0),O1941,0)</f>
        <v>0</v>
      </c>
      <c t="str" r="S1941">
        <f>CONCATENATE(F1941,E1941)</f>
        <v>NON FTLNON FTL</v>
      </c>
    </row>
    <row r="1942">
      <c t="s" s="7" r="A1942">
        <v>201</v>
      </c>
      <c s="7" r="B1942">
        <v>1969</v>
      </c>
      <c s="30" r="C1942">
        <v>28</v>
      </c>
      <c t="s" s="30" r="D1942">
        <v>147</v>
      </c>
      <c t="s" s="30" r="E1942">
        <v>4</v>
      </c>
      <c t="s" s="30" r="F1942">
        <v>4</v>
      </c>
      <c t="s" s="30" r="G1942">
        <v>268</v>
      </c>
      <c t="str" s="12" r="H1942">
        <f>HYPERLINK("http://sofifa.com/en/fifa13winter/player/149829-abdoulaye-doucoure","A. Doucouré")</f>
        <v>A. Doucouré</v>
      </c>
      <c s="30" r="I1942">
        <v>61</v>
      </c>
      <c t="s" s="30" r="J1942">
        <v>154</v>
      </c>
      <c t="s" s="30" r="K1942">
        <v>143</v>
      </c>
      <c t="s" s="30" r="L1942">
        <v>111</v>
      </c>
      <c s="30" r="M1942">
        <v>19</v>
      </c>
      <c s="26" r="N1942">
        <v>0.6</v>
      </c>
      <c s="23" r="O1942">
        <v>0.003</v>
      </c>
      <c s="7" r="P1942"/>
      <c s="7" r="Q1942"/>
      <c s="7" r="R1942">
        <f>IF((P1942&gt;0),O1942,0)</f>
        <v>0</v>
      </c>
      <c t="str" r="S1942">
        <f>CONCATENATE(F1942,E1942)</f>
        <v>NON FTLNON FTL</v>
      </c>
    </row>
    <row r="1943">
      <c t="s" s="7" r="A1943">
        <v>201</v>
      </c>
      <c s="7" r="B1943">
        <v>1970</v>
      </c>
      <c s="30" r="C1943">
        <v>22</v>
      </c>
      <c t="s" s="30" r="D1943">
        <v>147</v>
      </c>
      <c t="s" s="30" r="E1943">
        <v>4</v>
      </c>
      <c t="s" s="30" r="F1943">
        <v>4</v>
      </c>
      <c t="s" s="30" r="G1943">
        <v>268</v>
      </c>
      <c t="str" s="12" r="H1943">
        <f>HYPERLINK("http://sofifa.com/en/fifa13winter/player/148931-anders-konradsen","A. Konradsen")</f>
        <v>A. Konradsen</v>
      </c>
      <c s="30" r="I1943">
        <v>72</v>
      </c>
      <c t="s" s="30" r="J1943">
        <v>124</v>
      </c>
      <c t="s" s="30" r="K1943">
        <v>110</v>
      </c>
      <c t="s" s="30" r="L1943">
        <v>137</v>
      </c>
      <c s="30" r="M1943">
        <v>22</v>
      </c>
      <c s="26" r="N1943">
        <v>2.8</v>
      </c>
      <c s="23" r="O1943">
        <v>0.008</v>
      </c>
      <c s="7" r="P1943"/>
      <c s="7" r="Q1943"/>
      <c s="7" r="R1943">
        <f>IF((P1943&gt;0),O1943,0)</f>
        <v>0</v>
      </c>
      <c t="str" r="S1943">
        <f>CONCATENATE(F1943,E1943)</f>
        <v>NON FTLNON FTL</v>
      </c>
    </row>
    <row r="1944">
      <c t="s" s="7" r="A1944">
        <v>201</v>
      </c>
      <c s="7" r="B1944">
        <v>1971</v>
      </c>
      <c s="30" r="C1944">
        <v>30</v>
      </c>
      <c t="s" s="30" r="D1944">
        <v>147</v>
      </c>
      <c t="s" s="30" r="E1944">
        <v>4</v>
      </c>
      <c t="s" s="30" r="F1944">
        <v>4</v>
      </c>
      <c t="s" s="30" r="G1944">
        <v>268</v>
      </c>
      <c t="str" s="12" r="H1944">
        <f>HYPERLINK("http://sofifa.com/en/fifa13winter/player/146952-cheick-ndiaye","C. N'Diaye")</f>
        <v>C. N'Diaye</v>
      </c>
      <c s="30" r="I1944">
        <v>64</v>
      </c>
      <c t="s" s="30" r="J1944">
        <v>106</v>
      </c>
      <c t="s" s="30" r="K1944">
        <v>165</v>
      </c>
      <c t="s" s="30" r="L1944">
        <v>183</v>
      </c>
      <c s="30" r="M1944">
        <v>27</v>
      </c>
      <c s="26" r="N1944">
        <v>0.7</v>
      </c>
      <c s="23" r="O1944">
        <v>0.004</v>
      </c>
      <c s="7" r="P1944"/>
      <c s="7" r="Q1944"/>
      <c s="7" r="R1944">
        <f>IF((P1944&gt;0),O1944,0)</f>
        <v>0</v>
      </c>
      <c t="str" r="S1944">
        <f>CONCATENATE(F1944,E1944)</f>
        <v>NON FTLNON FTL</v>
      </c>
    </row>
    <row r="1945">
      <c t="s" s="7" r="A1945">
        <v>201</v>
      </c>
      <c s="7" r="B1945">
        <v>1972</v>
      </c>
      <c s="30" r="C1945">
        <v>20</v>
      </c>
      <c t="s" s="30" r="D1945">
        <v>147</v>
      </c>
      <c t="s" s="30" r="E1945">
        <v>4</v>
      </c>
      <c t="s" s="30" r="F1945">
        <v>4</v>
      </c>
      <c t="s" s="30" r="G1945">
        <v>268</v>
      </c>
      <c t="str" s="12" r="H1945">
        <f>HYPERLINK("http://sofifa.com/en/fifa13winter/player/146143-john-mensah","J. Mensah")</f>
        <v>J. Mensah</v>
      </c>
      <c s="30" r="I1945">
        <v>71</v>
      </c>
      <c t="s" s="30" r="J1945">
        <v>113</v>
      </c>
      <c t="s" s="30" r="K1945">
        <v>145</v>
      </c>
      <c t="s" s="30" r="L1945">
        <v>183</v>
      </c>
      <c s="30" r="M1945">
        <v>29</v>
      </c>
      <c s="26" r="N1945">
        <v>2</v>
      </c>
      <c s="23" r="O1945">
        <v>0.008</v>
      </c>
      <c s="7" r="P1945"/>
      <c s="7" r="Q1945"/>
      <c s="7" r="R1945">
        <f>IF((P1945&gt;0),O1945,0)</f>
        <v>0</v>
      </c>
      <c t="str" r="S1945">
        <f>CONCATENATE(F1945,E1945)</f>
        <v>NON FTLNON FTL</v>
      </c>
    </row>
    <row r="1946">
      <c t="s" s="7" r="A1946">
        <v>201</v>
      </c>
      <c s="7" r="B1946">
        <v>1973</v>
      </c>
      <c s="30" r="C1946">
        <v>34</v>
      </c>
      <c t="s" s="30" r="D1946">
        <v>147</v>
      </c>
      <c t="s" s="30" r="E1946">
        <v>4</v>
      </c>
      <c t="s" s="30" r="F1946">
        <v>4</v>
      </c>
      <c t="s" s="30" r="G1946">
        <v>268</v>
      </c>
      <c t="str" s="12" r="H1946">
        <f>HYPERLINK("http://sofifa.com/en/fifa13winter/player/150212-adrien-hunou","A. Hunou")</f>
        <v>A. Hunou</v>
      </c>
      <c s="30" r="I1946">
        <v>60</v>
      </c>
      <c t="s" s="30" r="J1946">
        <v>162</v>
      </c>
      <c t="s" s="30" r="K1946">
        <v>172</v>
      </c>
      <c t="s" s="30" r="L1946">
        <v>140</v>
      </c>
      <c s="30" r="M1946">
        <v>18</v>
      </c>
      <c s="26" r="N1946">
        <v>0.6</v>
      </c>
      <c s="23" r="O1946">
        <v>0.002</v>
      </c>
      <c s="7" r="P1946"/>
      <c s="7" r="Q1946"/>
      <c s="7" r="R1946">
        <f>IF((P1946&gt;0),O1946,0)</f>
        <v>0</v>
      </c>
      <c t="str" r="S1946">
        <f>CONCATENATE(F1946,E1946)</f>
        <v>NON FTLNON FTL</v>
      </c>
    </row>
    <row r="1947">
      <c t="s" s="7" r="A1947">
        <v>201</v>
      </c>
      <c s="7" r="B1947">
        <v>1974</v>
      </c>
      <c s="30" r="C1947">
        <v>30</v>
      </c>
      <c t="s" s="30" r="D1947">
        <v>106</v>
      </c>
      <c t="s" s="30" r="E1947">
        <v>4</v>
      </c>
      <c t="s" s="30" r="F1947">
        <v>4</v>
      </c>
      <c t="s" s="30" r="G1947">
        <v>269</v>
      </c>
      <c t="str" s="12" r="H1947">
        <f>HYPERLINK("http://sofifa.com/en/fifa13winter/player/149639-koen-casteels","K. Casteels")</f>
        <v>K. Casteels</v>
      </c>
      <c s="30" r="I1947">
        <v>66</v>
      </c>
      <c t="s" s="30" r="J1947">
        <v>106</v>
      </c>
      <c t="s" s="30" r="K1947">
        <v>198</v>
      </c>
      <c t="s" s="30" r="L1947">
        <v>161</v>
      </c>
      <c s="30" r="M1947">
        <v>20</v>
      </c>
      <c s="26" r="N1947">
        <v>1.1</v>
      </c>
      <c s="23" r="O1947">
        <v>0.004</v>
      </c>
      <c s="7" r="P1947"/>
      <c s="7" r="Q1947"/>
      <c s="7" r="R1947">
        <f>IF((P1947&gt;0),O1947,0)</f>
        <v>0</v>
      </c>
      <c t="str" r="S1947">
        <f>CONCATENATE(F1947,E1947)</f>
        <v>NON FTLNON FTL</v>
      </c>
    </row>
    <row r="1948">
      <c t="s" s="7" r="A1948">
        <v>201</v>
      </c>
      <c s="7" r="B1948">
        <v>1975</v>
      </c>
      <c s="30" r="C1948">
        <v>2</v>
      </c>
      <c t="s" s="30" r="D1948">
        <v>109</v>
      </c>
      <c t="s" s="30" r="E1948">
        <v>4</v>
      </c>
      <c t="s" s="30" r="F1948">
        <v>4</v>
      </c>
      <c t="s" s="30" r="G1948">
        <v>269</v>
      </c>
      <c t="str" s="12" r="H1948">
        <f>HYPERLINK("http://sofifa.com/en/fifa13winter/player/147708-andreas-beck","A. Beck")</f>
        <v>A. Beck</v>
      </c>
      <c s="30" r="I1948">
        <v>74</v>
      </c>
      <c t="s" s="30" r="J1948">
        <v>109</v>
      </c>
      <c t="s" s="30" r="K1948">
        <v>114</v>
      </c>
      <c t="s" s="30" r="L1948">
        <v>160</v>
      </c>
      <c s="30" r="M1948">
        <v>25</v>
      </c>
      <c s="26" r="N1948">
        <v>3.2</v>
      </c>
      <c s="23" r="O1948">
        <v>0.011</v>
      </c>
      <c s="7" r="P1948"/>
      <c s="7" r="Q1948"/>
      <c s="7" r="R1948">
        <f>IF((P1948&gt;0),O1948,0)</f>
        <v>0</v>
      </c>
      <c t="str" r="S1948">
        <f>CONCATENATE(F1948,E1948)</f>
        <v>NON FTLNON FTL</v>
      </c>
    </row>
    <row r="1949">
      <c t="s" s="7" r="A1949">
        <v>201</v>
      </c>
      <c s="7" r="B1949">
        <v>1976</v>
      </c>
      <c s="30" r="C1949">
        <v>12</v>
      </c>
      <c t="s" s="30" r="D1949">
        <v>112</v>
      </c>
      <c t="s" s="30" r="E1949">
        <v>4</v>
      </c>
      <c t="s" s="30" r="F1949">
        <v>4</v>
      </c>
      <c t="s" s="30" r="G1949">
        <v>269</v>
      </c>
      <c t="str" s="12" r="H1949">
        <f>HYPERLINK("http://sofifa.com/en/fifa13winter/player/147467-david-abraham","D. Abraham")</f>
        <v>D. Abraham</v>
      </c>
      <c s="30" r="I1949">
        <v>75</v>
      </c>
      <c t="s" s="30" r="J1949">
        <v>113</v>
      </c>
      <c t="s" s="30" r="K1949">
        <v>134</v>
      </c>
      <c t="s" s="30" r="L1949">
        <v>179</v>
      </c>
      <c s="30" r="M1949">
        <v>26</v>
      </c>
      <c s="26" r="N1949">
        <v>4</v>
      </c>
      <c s="23" r="O1949">
        <v>0.013</v>
      </c>
      <c s="7" r="P1949"/>
      <c s="7" r="Q1949"/>
      <c s="7" r="R1949">
        <f>IF((P1949&gt;0),O1949,0)</f>
        <v>0</v>
      </c>
      <c t="str" r="S1949">
        <f>CONCATENATE(F1949,E1949)</f>
        <v>NON FTLNON FTL</v>
      </c>
    </row>
    <row r="1950">
      <c t="s" s="7" r="A1950">
        <v>201</v>
      </c>
      <c s="7" r="B1950">
        <v>1977</v>
      </c>
      <c s="30" r="C1950">
        <v>29</v>
      </c>
      <c t="s" s="30" r="D1950">
        <v>116</v>
      </c>
      <c t="s" s="30" r="E1950">
        <v>4</v>
      </c>
      <c t="s" s="30" r="F1950">
        <v>4</v>
      </c>
      <c t="s" s="30" r="G1950">
        <v>269</v>
      </c>
      <c t="str" s="12" r="H1950">
        <f>HYPERLINK("http://sofifa.com/en/fifa13winter/player/149678-jannick-vestergaard","J. Vestergaard")</f>
        <v>J. Vestergaard</v>
      </c>
      <c s="30" r="I1950">
        <v>72</v>
      </c>
      <c t="s" s="30" r="J1950">
        <v>113</v>
      </c>
      <c t="s" s="30" r="K1950">
        <v>181</v>
      </c>
      <c t="s" s="30" r="L1950">
        <v>166</v>
      </c>
      <c s="30" r="M1950">
        <v>20</v>
      </c>
      <c s="26" r="N1950">
        <v>3.4</v>
      </c>
      <c s="23" r="O1950">
        <v>0.007</v>
      </c>
      <c s="7" r="P1950"/>
      <c s="7" r="Q1950"/>
      <c s="7" r="R1950">
        <f>IF((P1950&gt;0),O1950,0)</f>
        <v>0</v>
      </c>
      <c t="str" r="S1950">
        <f>CONCATENATE(F1950,E1950)</f>
        <v>NON FTLNON FTL</v>
      </c>
    </row>
    <row r="1951">
      <c t="s" s="7" r="A1951">
        <v>201</v>
      </c>
      <c s="7" r="B1951">
        <v>1978</v>
      </c>
      <c s="30" r="C1951">
        <v>4</v>
      </c>
      <c t="s" s="30" r="D1951">
        <v>117</v>
      </c>
      <c t="s" s="30" r="E1951">
        <v>4</v>
      </c>
      <c t="s" s="30" r="F1951">
        <v>4</v>
      </c>
      <c t="s" s="30" r="G1951">
        <v>269</v>
      </c>
      <c t="str" s="12" r="H1951">
        <f>HYPERLINK("http://sofifa.com/en/fifa13winter/player/149198-stefan-thesker","S. Thesker")</f>
        <v>S. Thesker</v>
      </c>
      <c s="30" r="I1951">
        <v>65</v>
      </c>
      <c t="s" s="30" r="J1951">
        <v>113</v>
      </c>
      <c t="s" s="30" r="K1951">
        <v>152</v>
      </c>
      <c t="s" s="30" r="L1951">
        <v>193</v>
      </c>
      <c s="30" r="M1951">
        <v>21</v>
      </c>
      <c s="26" r="N1951">
        <v>1</v>
      </c>
      <c s="23" r="O1951">
        <v>0.004</v>
      </c>
      <c s="7" r="P1951"/>
      <c s="7" r="Q1951"/>
      <c s="7" r="R1951">
        <f>IF((P1951&gt;0),O1951,0)</f>
        <v>0</v>
      </c>
      <c t="str" r="S1951">
        <f>CONCATENATE(F1951,E1951)</f>
        <v>NON FTLNON FTL</v>
      </c>
    </row>
    <row r="1952">
      <c t="s" s="7" r="A1952">
        <v>201</v>
      </c>
      <c s="7" r="B1952">
        <v>1979</v>
      </c>
      <c s="30" r="C1952">
        <v>17</v>
      </c>
      <c t="s" s="30" r="D1952">
        <v>186</v>
      </c>
      <c t="s" s="30" r="E1952">
        <v>4</v>
      </c>
      <c t="s" s="30" r="F1952">
        <v>4</v>
      </c>
      <c t="s" s="30" r="G1952">
        <v>269</v>
      </c>
      <c t="str" s="12" r="H1952">
        <f>HYPERLINK("http://sofifa.com/en/fifa13winter/player/147117-tobias-weis","T. Weis")</f>
        <v>T. Weis</v>
      </c>
      <c s="30" r="I1952">
        <v>72</v>
      </c>
      <c t="s" s="30" r="J1952">
        <v>154</v>
      </c>
      <c t="s" s="30" r="K1952">
        <v>121</v>
      </c>
      <c t="s" s="30" r="L1952">
        <v>163</v>
      </c>
      <c s="30" r="M1952">
        <v>27</v>
      </c>
      <c s="26" r="N1952">
        <v>2.4</v>
      </c>
      <c s="23" r="O1952">
        <v>0.009</v>
      </c>
      <c s="7" r="P1952"/>
      <c s="7" r="Q1952"/>
      <c s="7" r="R1952">
        <f>IF((P1952&gt;0),O1952,0)</f>
        <v>0</v>
      </c>
      <c t="str" r="S1952">
        <f>CONCATENATE(F1952,E1952)</f>
        <v>NON FTLNON FTL</v>
      </c>
    </row>
    <row r="1953">
      <c t="s" s="7" r="A1953">
        <v>201</v>
      </c>
      <c s="7" r="B1953">
        <v>1980</v>
      </c>
      <c s="30" r="C1953">
        <v>42</v>
      </c>
      <c t="s" s="30" r="D1953">
        <v>174</v>
      </c>
      <c t="s" s="30" r="E1953">
        <v>4</v>
      </c>
      <c t="s" s="30" r="F1953">
        <v>4</v>
      </c>
      <c t="s" s="30" r="G1953">
        <v>269</v>
      </c>
      <c t="str" s="12" r="H1953">
        <f>HYPERLINK("http://sofifa.com/en/fifa13winter/player/147347-eugen-polanski","E. Polanski")</f>
        <v>E. Polanski</v>
      </c>
      <c s="30" r="I1953">
        <v>74</v>
      </c>
      <c t="s" s="30" r="J1953">
        <v>154</v>
      </c>
      <c t="s" s="30" r="K1953">
        <v>110</v>
      </c>
      <c t="s" s="30" r="L1953">
        <v>119</v>
      </c>
      <c s="30" r="M1953">
        <v>26</v>
      </c>
      <c s="26" r="N1953">
        <v>3.1</v>
      </c>
      <c s="23" r="O1953">
        <v>0.011</v>
      </c>
      <c s="7" r="P1953"/>
      <c s="7" r="Q1953"/>
      <c s="7" r="R1953">
        <f>IF((P1953&gt;0),O1953,0)</f>
        <v>0</v>
      </c>
      <c t="str" r="S1953">
        <f>CONCATENATE(F1953,E1953)</f>
        <v>NON FTLNON FTL</v>
      </c>
    </row>
    <row r="1954">
      <c t="s" s="7" r="A1954">
        <v>201</v>
      </c>
      <c s="7" r="B1954">
        <v>1981</v>
      </c>
      <c s="30" r="C1954">
        <v>31</v>
      </c>
      <c t="s" s="30" r="D1954">
        <v>120</v>
      </c>
      <c t="s" s="30" r="E1954">
        <v>4</v>
      </c>
      <c t="s" s="30" r="F1954">
        <v>4</v>
      </c>
      <c t="s" s="30" r="G1954">
        <v>269</v>
      </c>
      <c t="str" s="12" r="H1954">
        <f>HYPERLINK("http://sofifa.com/en/fifa13winter/player/149674-kevin-volland","K. Volland")</f>
        <v>K. Volland</v>
      </c>
      <c s="30" r="I1954">
        <v>74</v>
      </c>
      <c t="s" s="30" r="J1954">
        <v>129</v>
      </c>
      <c t="s" s="30" r="K1954">
        <v>145</v>
      </c>
      <c t="s" s="30" r="L1954">
        <v>151</v>
      </c>
      <c s="30" r="M1954">
        <v>20</v>
      </c>
      <c s="26" r="N1954">
        <v>4.5</v>
      </c>
      <c s="23" r="O1954">
        <v>0.009</v>
      </c>
      <c s="7" r="P1954"/>
      <c s="7" r="Q1954"/>
      <c s="7" r="R1954">
        <f>IF((P1954&gt;0),O1954,0)</f>
        <v>0</v>
      </c>
      <c t="str" r="S1954">
        <f>CONCATENATE(F1954,E1954)</f>
        <v>NON FTLNON FTL</v>
      </c>
    </row>
    <row r="1955">
      <c t="s" s="7" r="A1955">
        <v>201</v>
      </c>
      <c s="7" r="B1955">
        <v>1982</v>
      </c>
      <c s="30" r="C1955">
        <v>16</v>
      </c>
      <c t="s" s="30" r="D1955">
        <v>128</v>
      </c>
      <c t="s" s="30" r="E1955">
        <v>4</v>
      </c>
      <c t="s" s="30" r="F1955">
        <v>4</v>
      </c>
      <c t="s" s="30" r="G1955">
        <v>269</v>
      </c>
      <c t="str" s="12" r="H1955">
        <f>HYPERLINK("http://sofifa.com/en/fifa13winter/player/147981-fabian-johnson","F. Johnson")</f>
        <v>F. Johnson</v>
      </c>
      <c s="30" r="I1955">
        <v>73</v>
      </c>
      <c t="s" s="30" r="J1955">
        <v>117</v>
      </c>
      <c t="s" s="30" r="K1955">
        <v>110</v>
      </c>
      <c t="s" s="30" r="L1955">
        <v>151</v>
      </c>
      <c s="30" r="M1955">
        <v>24</v>
      </c>
      <c s="26" r="N1955">
        <v>2.9</v>
      </c>
      <c s="23" r="O1955">
        <v>0.01</v>
      </c>
      <c s="7" r="P1955"/>
      <c s="7" r="Q1955"/>
      <c s="7" r="R1955">
        <f>IF((P1955&gt;0),O1955,0)</f>
        <v>0</v>
      </c>
      <c t="str" r="S1955">
        <f>CONCATENATE(F1955,E1955)</f>
        <v>NON FTLNON FTL</v>
      </c>
    </row>
    <row r="1956">
      <c t="s" s="7" r="A1956">
        <v>201</v>
      </c>
      <c s="7" r="B1956">
        <v>1983</v>
      </c>
      <c s="30" r="C1956">
        <v>23</v>
      </c>
      <c t="s" s="30" r="D1956">
        <v>162</v>
      </c>
      <c t="s" s="30" r="E1956">
        <v>4</v>
      </c>
      <c t="s" s="30" r="F1956">
        <v>4</v>
      </c>
      <c t="s" s="30" r="G1956">
        <v>269</v>
      </c>
      <c t="str" s="12" r="H1956">
        <f>HYPERLINK("http://sofifa.com/en/fifa13winter/player/146822-sejad-salihovic","S. Salihović")</f>
        <v>S. Salihović</v>
      </c>
      <c s="30" r="I1956">
        <v>77</v>
      </c>
      <c t="s" s="30" r="J1956">
        <v>124</v>
      </c>
      <c t="s" s="30" r="K1956">
        <v>143</v>
      </c>
      <c t="s" s="30" r="L1956">
        <v>158</v>
      </c>
      <c s="30" r="M1956">
        <v>27</v>
      </c>
      <c s="26" r="N1956">
        <v>6.6</v>
      </c>
      <c s="23" r="O1956">
        <v>0.017</v>
      </c>
      <c s="7" r="P1956"/>
      <c s="7" r="Q1956"/>
      <c s="7" r="R1956">
        <f>IF((P1956&gt;0),O1956,0)</f>
        <v>0</v>
      </c>
      <c t="str" r="S1956">
        <f>CONCATENATE(F1956,E1956)</f>
        <v>NON FTLNON FTL</v>
      </c>
    </row>
    <row r="1957">
      <c t="s" s="7" r="A1957">
        <v>201</v>
      </c>
      <c s="7" r="B1957">
        <v>1984</v>
      </c>
      <c s="30" r="C1957">
        <v>22</v>
      </c>
      <c t="s" s="30" r="D1957">
        <v>129</v>
      </c>
      <c t="s" s="30" r="E1957">
        <v>4</v>
      </c>
      <c t="s" s="30" r="F1957">
        <v>4</v>
      </c>
      <c t="s" s="30" r="G1957">
        <v>269</v>
      </c>
      <c t="str" s="12" r="H1957">
        <f>HYPERLINK("http://sofifa.com/en/fifa13winter/player/149372-roberto-firmino-barbosa-de-oliveira","Roberto Firmino")</f>
        <v>Roberto Firmino</v>
      </c>
      <c s="30" r="I1957">
        <v>77</v>
      </c>
      <c t="s" s="30" r="J1957">
        <v>162</v>
      </c>
      <c t="s" s="30" r="K1957">
        <v>114</v>
      </c>
      <c t="s" s="30" r="L1957">
        <v>137</v>
      </c>
      <c s="30" r="M1957">
        <v>20</v>
      </c>
      <c s="26" r="N1957">
        <v>7.3</v>
      </c>
      <c s="23" r="O1957">
        <v>0.014</v>
      </c>
      <c s="7" r="P1957"/>
      <c s="7" r="Q1957"/>
      <c s="7" r="R1957">
        <f>IF((P1957&gt;0),O1957,0)</f>
        <v>0</v>
      </c>
      <c t="str" r="S1957">
        <f>CONCATENATE(F1957,E1957)</f>
        <v>NON FTLNON FTL</v>
      </c>
    </row>
    <row r="1958">
      <c t="s" s="7" r="A1958">
        <v>201</v>
      </c>
      <c s="7" r="B1958">
        <v>1985</v>
      </c>
      <c s="30" r="C1958">
        <v>25</v>
      </c>
      <c t="s" s="30" r="D1958">
        <v>136</v>
      </c>
      <c t="s" s="30" r="E1958">
        <v>4</v>
      </c>
      <c t="s" s="30" r="F1958">
        <v>4</v>
      </c>
      <c t="s" s="30" r="G1958">
        <v>269</v>
      </c>
      <c t="str" s="12" r="H1958">
        <f>HYPERLINK("http://sofifa.com/en/fifa13winter/player/148793-luis-advincula","L. Advíncula")</f>
        <v>L. Advíncula</v>
      </c>
      <c s="30" r="I1958">
        <v>67</v>
      </c>
      <c t="s" s="30" r="J1958">
        <v>109</v>
      </c>
      <c t="s" s="30" r="K1958">
        <v>159</v>
      </c>
      <c t="s" s="30" r="L1958">
        <v>151</v>
      </c>
      <c s="30" r="M1958">
        <v>22</v>
      </c>
      <c s="26" r="N1958">
        <v>1.4</v>
      </c>
      <c s="23" r="O1958">
        <v>0.005</v>
      </c>
      <c s="7" r="P1958"/>
      <c s="7" r="Q1958"/>
      <c s="7" r="R1958">
        <f>IF((P1958&gt;0),O1958,0)</f>
        <v>0</v>
      </c>
      <c t="str" r="S1958">
        <f>CONCATENATE(F1958,E1958)</f>
        <v>NON FTLNON FTL</v>
      </c>
    </row>
    <row r="1959">
      <c t="s" s="7" r="A1959">
        <v>201</v>
      </c>
      <c s="7" r="B1959">
        <v>1986</v>
      </c>
      <c s="30" r="C1959">
        <v>41</v>
      </c>
      <c t="s" s="30" r="D1959">
        <v>136</v>
      </c>
      <c t="s" s="30" r="E1959">
        <v>4</v>
      </c>
      <c t="s" s="30" r="F1959">
        <v>4</v>
      </c>
      <c t="s" s="30" r="G1959">
        <v>269</v>
      </c>
      <c t="str" s="12" r="H1959">
        <f>HYPERLINK("http://sofifa.com/en/fifa13winter/player/149467-afriyie-acquah","A. Acquah")</f>
        <v>A. Acquah</v>
      </c>
      <c s="30" r="I1959">
        <v>73</v>
      </c>
      <c t="s" s="30" r="J1959">
        <v>124</v>
      </c>
      <c t="s" s="30" r="K1959">
        <v>145</v>
      </c>
      <c t="s" s="30" r="L1959">
        <v>122</v>
      </c>
      <c s="30" r="M1959">
        <v>20</v>
      </c>
      <c s="26" r="N1959">
        <v>3.3</v>
      </c>
      <c s="23" r="O1959">
        <v>0.008</v>
      </c>
      <c s="7" r="P1959"/>
      <c s="7" r="Q1959"/>
      <c s="7" r="R1959">
        <f>IF((P1959&gt;0),O1959,0)</f>
        <v>0</v>
      </c>
      <c t="str" r="S1959">
        <f>CONCATENATE(F1959,E1959)</f>
        <v>NON FTLNON FTL</v>
      </c>
    </row>
    <row r="1960">
      <c t="s" s="7" r="A1960">
        <v>201</v>
      </c>
      <c s="7" r="B1960">
        <v>1987</v>
      </c>
      <c s="30" r="C1960">
        <v>32</v>
      </c>
      <c t="s" s="30" r="D1960">
        <v>136</v>
      </c>
      <c t="s" s="30" r="E1960">
        <v>4</v>
      </c>
      <c t="s" s="30" r="F1960">
        <v>4</v>
      </c>
      <c t="s" s="30" r="G1960">
        <v>269</v>
      </c>
      <c t="str" s="12" r="H1960">
        <f>HYPERLINK("http://sofifa.com/en/fifa13winter/player/149925-vincenzo-grifo","V. Grifo")</f>
        <v>V. Grifo</v>
      </c>
      <c s="30" r="I1960">
        <v>66</v>
      </c>
      <c t="s" s="30" r="J1960">
        <v>162</v>
      </c>
      <c t="s" s="30" r="K1960">
        <v>114</v>
      </c>
      <c t="s" s="30" r="L1960">
        <v>151</v>
      </c>
      <c s="30" r="M1960">
        <v>19</v>
      </c>
      <c s="26" r="N1960">
        <v>1.5</v>
      </c>
      <c s="23" r="O1960">
        <v>0.004</v>
      </c>
      <c s="7" r="P1960"/>
      <c s="7" r="Q1960"/>
      <c s="7" r="R1960">
        <f>IF((P1960&gt;0),O1960,0)</f>
        <v>0</v>
      </c>
      <c t="str" r="S1960">
        <f>CONCATENATE(F1960,E1960)</f>
        <v>NON FTLNON FTL</v>
      </c>
    </row>
    <row r="1961">
      <c t="s" s="7" r="A1961">
        <v>201</v>
      </c>
      <c s="7" r="B1961">
        <v>1988</v>
      </c>
      <c s="30" r="C1961">
        <v>9</v>
      </c>
      <c t="s" s="30" r="D1961">
        <v>136</v>
      </c>
      <c t="s" s="30" r="E1961">
        <v>4</v>
      </c>
      <c t="s" s="30" r="F1961">
        <v>4</v>
      </c>
      <c t="s" s="30" r="G1961">
        <v>269</v>
      </c>
      <c t="str" s="12" r="H1961">
        <f>HYPERLINK("http://sofifa.com/en/fifa13winter/player/148314-sven-schipplock","S. Schipplock")</f>
        <v>S. Schipplock</v>
      </c>
      <c s="30" r="I1961">
        <v>70</v>
      </c>
      <c t="s" s="30" r="J1961">
        <v>129</v>
      </c>
      <c t="s" s="30" r="K1961">
        <v>173</v>
      </c>
      <c t="s" s="30" r="L1961">
        <v>193</v>
      </c>
      <c s="30" r="M1961">
        <v>23</v>
      </c>
      <c s="26" r="N1961">
        <v>2.3</v>
      </c>
      <c s="23" r="O1961">
        <v>0.006</v>
      </c>
      <c s="7" r="P1961"/>
      <c s="7" r="Q1961"/>
      <c s="7" r="R1961">
        <f>IF((P1961&gt;0),O1961,0)</f>
        <v>0</v>
      </c>
      <c t="str" r="S1961">
        <f>CONCATENATE(F1961,E1961)</f>
        <v>NON FTLNON FTL</v>
      </c>
    </row>
    <row r="1962">
      <c t="s" s="7" r="A1962">
        <v>201</v>
      </c>
      <c s="7" r="B1962">
        <v>1989</v>
      </c>
      <c s="30" r="C1962">
        <v>13</v>
      </c>
      <c t="s" s="30" r="D1962">
        <v>136</v>
      </c>
      <c t="s" s="30" r="E1962">
        <v>4</v>
      </c>
      <c t="s" s="30" r="F1962">
        <v>4</v>
      </c>
      <c t="s" s="30" r="G1962">
        <v>269</v>
      </c>
      <c t="str" s="12" r="H1962">
        <f>HYPERLINK("http://sofifa.com/en/fifa13winter/player/148434-daniel-williams","D. Williams")</f>
        <v>D. Williams</v>
      </c>
      <c s="30" r="I1962">
        <v>72</v>
      </c>
      <c t="s" s="30" r="J1962">
        <v>154</v>
      </c>
      <c t="s" s="30" r="K1962">
        <v>143</v>
      </c>
      <c t="s" s="30" r="L1962">
        <v>158</v>
      </c>
      <c s="30" r="M1962">
        <v>23</v>
      </c>
      <c s="26" r="N1962">
        <v>2.6</v>
      </c>
      <c s="23" r="O1962">
        <v>0.008</v>
      </c>
      <c s="7" r="P1962"/>
      <c s="7" r="Q1962"/>
      <c s="7" r="R1962">
        <f>IF((P1962&gt;0),O1962,0)</f>
        <v>0</v>
      </c>
      <c t="str" r="S1962">
        <f>CONCATENATE(F1962,E1962)</f>
        <v>NON FTLNON FTL</v>
      </c>
    </row>
    <row r="1963">
      <c t="s" s="7" r="A1963">
        <v>201</v>
      </c>
      <c s="7" r="B1963">
        <v>1990</v>
      </c>
      <c s="30" r="C1963">
        <v>15</v>
      </c>
      <c t="s" s="30" r="D1963">
        <v>136</v>
      </c>
      <c t="s" s="30" r="E1963">
        <v>4</v>
      </c>
      <c t="s" s="30" r="F1963">
        <v>4</v>
      </c>
      <c t="s" s="30" r="G1963">
        <v>269</v>
      </c>
      <c t="str" s="12" r="H1963">
        <f>HYPERLINK("http://sofifa.com/en/fifa13winter/player/145561-matthieu-delpierre","M. Delpierre")</f>
        <v>M. Delpierre</v>
      </c>
      <c s="30" r="I1963">
        <v>73</v>
      </c>
      <c t="s" s="30" r="J1963">
        <v>113</v>
      </c>
      <c t="s" s="30" r="K1963">
        <v>107</v>
      </c>
      <c t="s" s="30" r="L1963">
        <v>180</v>
      </c>
      <c s="30" r="M1963">
        <v>31</v>
      </c>
      <c s="26" r="N1963">
        <v>2.4</v>
      </c>
      <c s="23" r="O1963">
        <v>0.011</v>
      </c>
      <c s="7" r="P1963"/>
      <c s="7" r="Q1963"/>
      <c s="7" r="R1963">
        <f>IF((P1963&gt;0),O1963,0)</f>
        <v>0</v>
      </c>
      <c t="str" r="S1963">
        <f>CONCATENATE(F1963,E1963)</f>
        <v>NON FTLNON FTL</v>
      </c>
    </row>
    <row r="1964">
      <c t="s" s="7" r="A1964">
        <v>201</v>
      </c>
      <c s="7" r="B1964">
        <v>1991</v>
      </c>
      <c s="30" r="C1964">
        <v>34</v>
      </c>
      <c t="s" s="30" r="D1964">
        <v>136</v>
      </c>
      <c t="s" s="30" r="E1964">
        <v>4</v>
      </c>
      <c t="s" s="30" r="F1964">
        <v>4</v>
      </c>
      <c t="s" s="30" r="G1964">
        <v>269</v>
      </c>
      <c t="str" s="12" r="H1964">
        <f>HYPERLINK("http://sofifa.com/en/fifa13winter/player/145491-heurelho-silva-gomes","Gomes")</f>
        <v>Gomes</v>
      </c>
      <c s="30" r="I1964">
        <v>77</v>
      </c>
      <c t="s" s="30" r="J1964">
        <v>106</v>
      </c>
      <c t="s" s="30" r="K1964">
        <v>144</v>
      </c>
      <c t="s" s="30" r="L1964">
        <v>193</v>
      </c>
      <c s="30" r="M1964">
        <v>31</v>
      </c>
      <c s="26" r="N1964">
        <v>3.8</v>
      </c>
      <c s="23" r="O1964">
        <v>0.019</v>
      </c>
      <c s="7" r="P1964"/>
      <c s="7" r="Q1964"/>
      <c s="7" r="R1964">
        <f>IF((P1964&gt;0),O1964,0)</f>
        <v>0</v>
      </c>
      <c t="str" r="S1964">
        <f>CONCATENATE(F1964,E1964)</f>
        <v>NON FTLNON FTL</v>
      </c>
    </row>
    <row r="1965">
      <c t="s" s="7" r="A1965">
        <v>201</v>
      </c>
      <c s="7" r="B1965">
        <v>1992</v>
      </c>
      <c s="30" r="C1965">
        <v>10</v>
      </c>
      <c t="s" s="30" r="D1965">
        <v>136</v>
      </c>
      <c t="s" s="30" r="E1965">
        <v>4</v>
      </c>
      <c t="s" s="30" r="F1965">
        <v>4</v>
      </c>
      <c t="s" s="30" r="G1965">
        <v>269</v>
      </c>
      <c t="str" s="12" r="H1965">
        <f>HYPERLINK("http://sofifa.com/en/fifa13winter/player/146307-igor-de-camargo","I. de Camargo")</f>
        <v>I. de Camargo</v>
      </c>
      <c s="30" r="I1965">
        <v>74</v>
      </c>
      <c t="s" s="30" r="J1965">
        <v>129</v>
      </c>
      <c t="s" s="30" r="K1965">
        <v>155</v>
      </c>
      <c t="s" s="30" r="L1965">
        <v>108</v>
      </c>
      <c s="30" r="M1965">
        <v>29</v>
      </c>
      <c s="26" r="N1965">
        <v>4</v>
      </c>
      <c s="23" r="O1965">
        <v>0.012</v>
      </c>
      <c s="7" r="P1965"/>
      <c s="7" r="Q1965"/>
      <c s="7" r="R1965">
        <f>IF((P1965&gt;0),O1965,0)</f>
        <v>0</v>
      </c>
      <c t="str" r="S1965">
        <f>CONCATENATE(F1965,E1965)</f>
        <v>NON FTLNON FTL</v>
      </c>
    </row>
    <row r="1966">
      <c t="s" s="7" r="A1966">
        <v>201</v>
      </c>
      <c s="7" r="B1966">
        <v>1993</v>
      </c>
      <c s="30" r="C1966">
        <v>6</v>
      </c>
      <c t="s" s="30" r="D1966">
        <v>136</v>
      </c>
      <c t="s" s="30" r="E1966">
        <v>4</v>
      </c>
      <c t="s" s="30" r="F1966">
        <v>4</v>
      </c>
      <c t="s" s="30" r="G1966">
        <v>269</v>
      </c>
      <c t="str" s="12" r="H1966">
        <f>HYPERLINK("http://sofifa.com/en/fifa13winter/player/148791-sebastian-rudy","S. Rudy")</f>
        <v>S. Rudy</v>
      </c>
      <c s="30" r="I1966">
        <v>75</v>
      </c>
      <c t="s" s="30" r="J1966">
        <v>124</v>
      </c>
      <c t="s" s="30" r="K1966">
        <v>145</v>
      </c>
      <c t="s" s="30" r="L1966">
        <v>160</v>
      </c>
      <c s="30" r="M1966">
        <v>22</v>
      </c>
      <c s="26" r="N1966">
        <v>4.4</v>
      </c>
      <c s="23" r="O1966">
        <v>0.012</v>
      </c>
      <c s="7" r="P1966"/>
      <c s="7" r="Q1966"/>
      <c s="7" r="R1966">
        <f>IF((P1966&gt;0),O1966,0)</f>
        <v>0</v>
      </c>
      <c t="str" r="S1966">
        <f>CONCATENATE(F1966,E1966)</f>
        <v>NON FTLNON FTL</v>
      </c>
    </row>
    <row r="1967">
      <c t="s" s="7" r="A1967">
        <v>201</v>
      </c>
      <c s="7" r="B1967">
        <v>1994</v>
      </c>
      <c s="30" r="C1967">
        <v>3</v>
      </c>
      <c t="s" s="30" r="D1967">
        <v>136</v>
      </c>
      <c t="s" s="30" r="E1967">
        <v>4</v>
      </c>
      <c t="s" s="30" r="F1967">
        <v>4</v>
      </c>
      <c t="s" s="30" r="G1967">
        <v>269</v>
      </c>
      <c t="str" s="12" r="H1967">
        <f>HYPERLINK("http://sofifa.com/en/fifa13winter/player/148097-matthias-jaissle","M. Jaissle")</f>
        <v>M. Jaissle</v>
      </c>
      <c s="30" r="I1967">
        <v>69</v>
      </c>
      <c t="s" s="30" r="J1967">
        <v>113</v>
      </c>
      <c t="s" s="30" r="K1967">
        <v>173</v>
      </c>
      <c t="s" s="30" r="L1967">
        <v>108</v>
      </c>
      <c s="30" r="M1967">
        <v>24</v>
      </c>
      <c s="26" r="N1967">
        <v>1.8</v>
      </c>
      <c s="23" r="O1967">
        <v>0.007</v>
      </c>
      <c s="7" r="P1967"/>
      <c s="7" r="Q1967"/>
      <c s="7" r="R1967">
        <f>IF((P1967&gt;0),O1967,0)</f>
        <v>0</v>
      </c>
      <c t="str" r="S1967">
        <f>CONCATENATE(F1967,E1967)</f>
        <v>NON FTLNON FTL</v>
      </c>
    </row>
    <row r="1968">
      <c t="s" s="7" r="A1968">
        <v>201</v>
      </c>
      <c s="7" r="B1968">
        <v>1995</v>
      </c>
      <c s="30" r="C1968">
        <v>11</v>
      </c>
      <c t="s" s="30" r="D1968">
        <v>136</v>
      </c>
      <c t="s" s="30" r="E1968">
        <v>4</v>
      </c>
      <c t="s" s="30" r="F1968">
        <v>4</v>
      </c>
      <c t="s" s="30" r="G1968">
        <v>269</v>
      </c>
      <c t="str" s="12" r="H1968">
        <f>HYPERLINK("http://sofifa.com/en/fifa13winter/player/148165-eren-derdiyok","E. Derdiyok")</f>
        <v>E. Derdiyok</v>
      </c>
      <c s="30" r="I1968">
        <v>75</v>
      </c>
      <c t="s" s="30" r="J1968">
        <v>129</v>
      </c>
      <c t="s" s="30" r="K1968">
        <v>144</v>
      </c>
      <c t="s" s="30" r="L1968">
        <v>135</v>
      </c>
      <c s="30" r="M1968">
        <v>24</v>
      </c>
      <c s="26" r="N1968">
        <v>5.1</v>
      </c>
      <c s="23" r="O1968">
        <v>0.013</v>
      </c>
      <c s="7" r="P1968"/>
      <c s="7" r="Q1968"/>
      <c s="7" r="R1968">
        <f>IF((P1968&gt;0),O1968,0)</f>
        <v>0</v>
      </c>
      <c t="str" r="S1968">
        <f>CONCATENATE(F1968,E1968)</f>
        <v>NON FTLNON FTL</v>
      </c>
    </row>
    <row r="1969">
      <c t="s" s="7" r="A1969">
        <v>201</v>
      </c>
      <c s="7" r="B1969">
        <v>1996</v>
      </c>
      <c s="30" r="C1969">
        <v>21</v>
      </c>
      <c t="s" s="30" r="D1969">
        <v>136</v>
      </c>
      <c t="s" s="30" r="E1969">
        <v>4</v>
      </c>
      <c t="s" s="30" r="F1969">
        <v>4</v>
      </c>
      <c t="s" s="30" r="G1969">
        <v>269</v>
      </c>
      <c t="str" s="12" r="H1969">
        <f>HYPERLINK("http://sofifa.com/en/fifa13winter/player/146675-patrick-ochs","P. Ochs")</f>
        <v>P. Ochs</v>
      </c>
      <c s="30" r="I1969">
        <v>73</v>
      </c>
      <c t="s" s="30" r="J1969">
        <v>120</v>
      </c>
      <c t="s" s="30" r="K1969">
        <v>145</v>
      </c>
      <c t="s" s="30" r="L1969">
        <v>142</v>
      </c>
      <c s="30" r="M1969">
        <v>28</v>
      </c>
      <c s="26" r="N1969">
        <v>2.9</v>
      </c>
      <c s="23" r="O1969">
        <v>0.01</v>
      </c>
      <c s="7" r="P1969"/>
      <c s="7" r="Q1969"/>
      <c s="7" r="R1969">
        <f>IF((P1969&gt;0),O1969,0)</f>
        <v>0</v>
      </c>
      <c t="str" r="S1969">
        <f>CONCATENATE(F1969,E1969)</f>
        <v>NON FTLNON FTL</v>
      </c>
    </row>
    <row r="1970">
      <c t="s" s="7" r="A1970">
        <v>201</v>
      </c>
      <c s="7" r="B1970">
        <v>1997</v>
      </c>
      <c s="30" r="C1970">
        <v>45</v>
      </c>
      <c t="s" s="30" r="D1970">
        <v>147</v>
      </c>
      <c t="s" s="30" r="E1970">
        <v>4</v>
      </c>
      <c t="s" s="30" r="F1970">
        <v>4</v>
      </c>
      <c t="s" s="30" r="G1970">
        <v>269</v>
      </c>
      <c t="str" s="12" r="H1970">
        <f>HYPERLINK("http://sofifa.com/en/fifa13winter/player/150804-niklas-sule","N. Süle")</f>
        <v>N. Süle</v>
      </c>
      <c s="30" r="I1970">
        <v>58</v>
      </c>
      <c t="s" s="30" r="J1970">
        <v>113</v>
      </c>
      <c t="s" s="30" r="K1970">
        <v>188</v>
      </c>
      <c t="s" s="30" r="L1970">
        <v>185</v>
      </c>
      <c s="30" r="M1970">
        <v>16</v>
      </c>
      <c s="26" r="N1970">
        <v>0.3</v>
      </c>
      <c s="23" r="O1970">
        <v>0.002</v>
      </c>
      <c s="7" r="P1970"/>
      <c s="7" r="Q1970"/>
      <c s="7" r="R1970">
        <f>IF((P1970&gt;0),O1970,0)</f>
        <v>0</v>
      </c>
      <c t="str" r="S1970">
        <f>CONCATENATE(F1970,E1970)</f>
        <v>NON FTLNON FTL</v>
      </c>
    </row>
    <row r="1971">
      <c t="s" s="7" r="A1971">
        <v>201</v>
      </c>
      <c s="7" r="B1971">
        <v>1998</v>
      </c>
      <c s="30" r="C1971">
        <v>43</v>
      </c>
      <c t="s" s="30" r="D1971">
        <v>147</v>
      </c>
      <c t="s" s="30" r="E1971">
        <v>4</v>
      </c>
      <c t="s" s="30" r="F1971">
        <v>4</v>
      </c>
      <c t="s" s="30" r="G1971">
        <v>269</v>
      </c>
      <c t="str" s="12" r="H1971">
        <f>HYPERLINK("http://sofifa.com/en/fifa13winter/player/149357-robin-szarka","R. Szarka")</f>
        <v>R. Szarka</v>
      </c>
      <c s="30" r="I1971">
        <v>58</v>
      </c>
      <c t="s" s="30" r="J1971">
        <v>117</v>
      </c>
      <c t="s" s="30" r="K1971">
        <v>172</v>
      </c>
      <c t="s" s="30" r="L1971">
        <v>163</v>
      </c>
      <c s="30" r="M1971">
        <v>20</v>
      </c>
      <c s="26" r="N1971">
        <v>0.3</v>
      </c>
      <c s="23" r="O1971">
        <v>0.002</v>
      </c>
      <c s="7" r="P1971"/>
      <c s="7" r="Q1971"/>
      <c s="7" r="R1971">
        <f>IF((P1971&gt;0),O1971,0)</f>
        <v>0</v>
      </c>
      <c t="str" r="S1971">
        <f>CONCATENATE(F1971,E1971)</f>
        <v>NON FTLNON FTL</v>
      </c>
    </row>
    <row r="1972">
      <c t="s" s="7" r="A1972">
        <v>201</v>
      </c>
      <c s="7" r="B1972">
        <v>1999</v>
      </c>
      <c s="30" r="C1972">
        <v>44</v>
      </c>
      <c t="s" s="30" r="D1972">
        <v>147</v>
      </c>
      <c t="s" s="30" r="E1972">
        <v>4</v>
      </c>
      <c t="s" s="30" r="F1972">
        <v>4</v>
      </c>
      <c t="s" s="30" r="G1972">
        <v>269</v>
      </c>
      <c t="str" s="12" r="H1972">
        <f>HYPERLINK("http://sofifa.com/en/fifa13winter/player/150479-patrick-schorr","P. Schorr")</f>
        <v>P. Schorr</v>
      </c>
      <c s="30" r="I1972">
        <v>59</v>
      </c>
      <c t="s" s="30" r="J1972">
        <v>109</v>
      </c>
      <c t="s" s="30" r="K1972">
        <v>110</v>
      </c>
      <c t="s" s="30" r="L1972">
        <v>151</v>
      </c>
      <c s="30" r="M1972">
        <v>17</v>
      </c>
      <c s="26" r="N1972">
        <v>0.4</v>
      </c>
      <c s="23" r="O1972">
        <v>0.002</v>
      </c>
      <c s="7" r="P1972"/>
      <c s="7" r="Q1972"/>
      <c s="7" r="R1972">
        <f>IF((P1972&gt;0),O1972,0)</f>
        <v>0</v>
      </c>
      <c t="str" r="S1972">
        <f>CONCATENATE(F1972,E1972)</f>
        <v>NON FTLNON FTL</v>
      </c>
    </row>
    <row r="1973">
      <c t="s" s="7" r="A1973">
        <v>201</v>
      </c>
      <c s="7" r="B1973">
        <v>2000</v>
      </c>
      <c s="30" r="C1973">
        <v>8</v>
      </c>
      <c t="s" s="30" r="D1973">
        <v>147</v>
      </c>
      <c t="s" s="30" r="E1973">
        <v>4</v>
      </c>
      <c t="s" s="30" r="F1973">
        <v>4</v>
      </c>
      <c t="s" s="30" r="G1973">
        <v>269</v>
      </c>
      <c t="str" s="12" r="H1973">
        <f>HYPERLINK("http://sofifa.com/en/fifa13winter/player/149785-filip-malbasic","F. Malbasic")</f>
        <v>F. Malbasic</v>
      </c>
      <c s="30" r="I1973">
        <v>64</v>
      </c>
      <c t="s" s="30" r="J1973">
        <v>170</v>
      </c>
      <c t="s" s="30" r="K1973">
        <v>143</v>
      </c>
      <c t="s" s="30" r="L1973">
        <v>183</v>
      </c>
      <c s="30" r="M1973">
        <v>19</v>
      </c>
      <c s="26" r="N1973">
        <v>1.1</v>
      </c>
      <c s="23" r="O1973">
        <v>0.004</v>
      </c>
      <c s="7" r="P1973"/>
      <c s="7" r="Q1973"/>
      <c s="7" r="R1973">
        <f>IF((P1973&gt;0),O1973,0)</f>
        <v>0</v>
      </c>
      <c t="str" r="S1973">
        <f>CONCATENATE(F1973,E1973)</f>
        <v>NON FTLNON FTL</v>
      </c>
    </row>
    <row r="1974">
      <c t="s" s="7" r="A1974">
        <v>201</v>
      </c>
      <c s="7" r="B1974">
        <v>2001</v>
      </c>
      <c s="30" r="C1974">
        <v>1</v>
      </c>
      <c t="s" s="30" r="D1974">
        <v>147</v>
      </c>
      <c t="s" s="30" r="E1974">
        <v>4</v>
      </c>
      <c t="s" s="30" r="F1974">
        <v>4</v>
      </c>
      <c t="s" s="30" r="G1974">
        <v>269</v>
      </c>
      <c t="str" s="12" r="H1974">
        <f>HYPERLINK("http://sofifa.com/en/fifa13winter/player/145796-tim-wiese","T. Wiese")</f>
        <v>T. Wiese</v>
      </c>
      <c s="30" r="I1974">
        <v>79</v>
      </c>
      <c t="s" s="30" r="J1974">
        <v>106</v>
      </c>
      <c t="s" s="30" r="K1974">
        <v>107</v>
      </c>
      <c t="s" s="30" r="L1974">
        <v>180</v>
      </c>
      <c s="30" r="M1974">
        <v>30</v>
      </c>
      <c s="26" r="N1974">
        <v>5.1</v>
      </c>
      <c s="23" r="O1974">
        <v>0.025</v>
      </c>
      <c s="7" r="P1974"/>
      <c s="7" r="Q1974"/>
      <c s="7" r="R1974">
        <f>IF((P1974&gt;0),O1974,0)</f>
        <v>0</v>
      </c>
      <c t="str" r="S1974">
        <f>CONCATENATE(F1974,E1974)</f>
        <v>NON FTLNON FTL</v>
      </c>
    </row>
    <row r="1975">
      <c t="s" s="7" r="A1975">
        <v>201</v>
      </c>
      <c s="7" r="B1975">
        <v>2002</v>
      </c>
      <c s="30" r="C1975">
        <v>7</v>
      </c>
      <c t="s" s="30" r="D1975">
        <v>147</v>
      </c>
      <c t="s" s="30" r="E1975">
        <v>4</v>
      </c>
      <c t="s" s="30" r="F1975">
        <v>4</v>
      </c>
      <c t="s" s="30" r="G1975">
        <v>269</v>
      </c>
      <c t="str" s="12" r="H1975">
        <f>HYPERLINK("http://sofifa.com/en/fifa13winter/player/148807-boris-vukcevic","B. Vukcevic")</f>
        <v>B. Vukcevic</v>
      </c>
      <c s="30" r="I1975">
        <v>71</v>
      </c>
      <c t="s" s="30" r="J1975">
        <v>120</v>
      </c>
      <c t="s" s="30" r="K1975">
        <v>110</v>
      </c>
      <c t="s" s="30" r="L1975">
        <v>158</v>
      </c>
      <c s="30" r="M1975">
        <v>22</v>
      </c>
      <c s="26" r="N1975">
        <v>2.5</v>
      </c>
      <c s="23" r="O1975">
        <v>0.007</v>
      </c>
      <c s="7" r="P1975"/>
      <c s="7" r="Q1975"/>
      <c s="7" r="R1975">
        <f>IF((P1975&gt;0),O1975,0)</f>
        <v>0</v>
      </c>
      <c t="str" r="S1975">
        <f>CONCATENATE(F1975,E1975)</f>
        <v>NON FTLNON FTL</v>
      </c>
    </row>
    <row r="1976">
      <c t="s" s="7" r="A1976">
        <v>201</v>
      </c>
      <c s="7" r="B1976">
        <v>2003</v>
      </c>
      <c s="30" r="C1976">
        <v>40</v>
      </c>
      <c t="s" s="30" r="D1976">
        <v>147</v>
      </c>
      <c t="s" s="30" r="E1976">
        <v>4</v>
      </c>
      <c t="s" s="30" r="F1976">
        <v>4</v>
      </c>
      <c t="s" s="30" r="G1976">
        <v>269</v>
      </c>
      <c t="str" s="12" r="H1976">
        <f>HYPERLINK("http://sofifa.com/en/fifa13winter/player/147504-stephan-schrock","S. Schröck")</f>
        <v>S. Schröck</v>
      </c>
      <c s="30" r="I1976">
        <v>71</v>
      </c>
      <c t="s" s="30" r="J1976">
        <v>128</v>
      </c>
      <c t="s" s="30" r="K1976">
        <v>121</v>
      </c>
      <c t="s" s="30" r="L1976">
        <v>115</v>
      </c>
      <c s="30" r="M1976">
        <v>26</v>
      </c>
      <c s="26" r="N1976">
        <v>2.6</v>
      </c>
      <c s="23" r="O1976">
        <v>0.008</v>
      </c>
      <c s="7" r="P1976"/>
      <c s="7" r="Q1976"/>
      <c s="7" r="R1976">
        <f>IF((P1976&gt;0),O1976,0)</f>
        <v>0</v>
      </c>
      <c t="str" r="S1976">
        <f>CONCATENATE(F1976,E1976)</f>
        <v>NON FTLNON FTL</v>
      </c>
    </row>
    <row r="1977">
      <c t="s" s="7" r="A1977">
        <v>201</v>
      </c>
      <c s="7" r="B1977">
        <v>2004</v>
      </c>
      <c s="30" r="C1977">
        <v>18</v>
      </c>
      <c t="s" s="30" r="D1977">
        <v>147</v>
      </c>
      <c t="s" s="30" r="E1977">
        <v>4</v>
      </c>
      <c t="s" s="30" r="F1977">
        <v>4</v>
      </c>
      <c t="s" s="30" r="G1977">
        <v>269</v>
      </c>
      <c t="str" s="12" r="H1977">
        <f>HYPERLINK("http://sofifa.com/en/fifa13winter/player/148818-jose-luis-sanmartin-mato","Joselu")</f>
        <v>Joselu</v>
      </c>
      <c s="30" r="I1977">
        <v>72</v>
      </c>
      <c t="s" s="30" r="J1977">
        <v>129</v>
      </c>
      <c t="s" s="30" r="K1977">
        <v>144</v>
      </c>
      <c t="s" s="30" r="L1977">
        <v>153</v>
      </c>
      <c s="30" r="M1977">
        <v>22</v>
      </c>
      <c s="26" r="N1977">
        <v>3.3</v>
      </c>
      <c s="23" r="O1977">
        <v>0.008</v>
      </c>
      <c s="7" r="P1977"/>
      <c s="7" r="Q1977"/>
      <c s="7" r="R1977">
        <f>IF((P1977&gt;0),O1977,0)</f>
        <v>0</v>
      </c>
      <c t="str" r="S1977">
        <f>CONCATENATE(F1977,E1977)</f>
        <v>NON FTLNON FTL</v>
      </c>
    </row>
    <row r="1978">
      <c t="s" s="7" r="A1978">
        <v>201</v>
      </c>
      <c s="7" r="B1978">
        <v>2005</v>
      </c>
      <c s="30" r="C1978">
        <v>39</v>
      </c>
      <c t="s" s="30" r="D1978">
        <v>147</v>
      </c>
      <c t="s" s="30" r="E1978">
        <v>4</v>
      </c>
      <c t="s" s="30" r="F1978">
        <v>4</v>
      </c>
      <c t="s" s="30" r="G1978">
        <v>269</v>
      </c>
      <c t="str" s="12" r="H1978">
        <f>HYPERLINK("http://sofifa.com/en/fifa13winter/player/148986-andreas-ludwig","A. Ludwig")</f>
        <v>A. Ludwig</v>
      </c>
      <c s="30" r="I1978">
        <v>65</v>
      </c>
      <c t="s" s="30" r="J1978">
        <v>120</v>
      </c>
      <c t="s" s="30" r="K1978">
        <v>187</v>
      </c>
      <c t="s" s="30" r="L1978">
        <v>115</v>
      </c>
      <c s="30" r="M1978">
        <v>21</v>
      </c>
      <c s="26" r="N1978">
        <v>1.1</v>
      </c>
      <c s="23" r="O1978">
        <v>0.004</v>
      </c>
      <c s="7" r="P1978"/>
      <c s="7" r="Q1978"/>
      <c s="7" r="R1978">
        <f>IF((P1978&gt;0),O1978,0)</f>
        <v>0</v>
      </c>
      <c t="str" r="S1978">
        <f>CONCATENATE(F1978,E1978)</f>
        <v>NON FTLNON FTL</v>
      </c>
    </row>
    <row r="1979">
      <c t="s" s="7" r="A1979">
        <v>201</v>
      </c>
      <c s="7" r="B1979">
        <v>2006</v>
      </c>
      <c s="30" r="C1979">
        <v>36</v>
      </c>
      <c t="s" s="30" r="D1979">
        <v>147</v>
      </c>
      <c t="s" s="30" r="E1979">
        <v>4</v>
      </c>
      <c t="s" s="30" r="F1979">
        <v>4</v>
      </c>
      <c t="s" s="30" r="G1979">
        <v>269</v>
      </c>
      <c t="str" s="12" r="H1979">
        <f>HYPERLINK("http://sofifa.com/en/fifa13winter/player/150413-jeremy-toljan","J. Toljan")</f>
        <v>J. Toljan</v>
      </c>
      <c s="30" r="I1979">
        <v>56</v>
      </c>
      <c t="s" s="30" r="J1979">
        <v>117</v>
      </c>
      <c t="s" s="30" r="K1979">
        <v>143</v>
      </c>
      <c t="s" s="30" r="L1979">
        <v>160</v>
      </c>
      <c s="30" r="M1979">
        <v>18</v>
      </c>
      <c s="26" r="N1979">
        <v>0.1</v>
      </c>
      <c s="23" r="O1979">
        <v>0.002</v>
      </c>
      <c s="7" r="P1979"/>
      <c s="7" r="Q1979"/>
      <c s="7" r="R1979">
        <f>IF((P1979&gt;0),O1979,0)</f>
        <v>0</v>
      </c>
      <c t="str" r="S1979">
        <f>CONCATENATE(F1979,E1979)</f>
        <v>NON FTLNON FTL</v>
      </c>
    </row>
    <row r="1980">
      <c t="s" s="7" r="A1980">
        <v>201</v>
      </c>
      <c s="7" r="B1980">
        <v>2007</v>
      </c>
      <c s="30" r="C1980">
        <v>1</v>
      </c>
      <c t="s" s="30" r="D1980">
        <v>106</v>
      </c>
      <c t="s" s="30" r="E1980">
        <v>4</v>
      </c>
      <c t="s" s="30" r="F1980">
        <v>4</v>
      </c>
      <c t="s" s="30" r="G1980">
        <v>270</v>
      </c>
      <c t="str" s="12" r="H1980">
        <f>HYPERLINK("http://sofifa.com/en/fifa13winter/player/147252-guilherme-alvim-marinato","Guilherme")</f>
        <v>Guilherme</v>
      </c>
      <c s="30" r="I1980">
        <v>76</v>
      </c>
      <c t="s" s="30" r="J1980">
        <v>106</v>
      </c>
      <c t="s" s="30" r="K1980">
        <v>215</v>
      </c>
      <c t="s" s="30" r="L1980">
        <v>161</v>
      </c>
      <c s="30" r="M1980">
        <v>26</v>
      </c>
      <c s="26" r="N1980">
        <v>4</v>
      </c>
      <c s="23" r="O1980">
        <v>0.015</v>
      </c>
      <c s="7" r="P1980"/>
      <c s="7" r="Q1980"/>
      <c s="7" r="R1980">
        <f>IF((P1980&gt;0),O1980,0)</f>
        <v>0</v>
      </c>
      <c t="str" r="S1980">
        <f>CONCATENATE(F1980,E1980)</f>
        <v>NON FTLNON FTL</v>
      </c>
    </row>
    <row r="1981">
      <c t="s" s="7" r="A1981">
        <v>201</v>
      </c>
      <c s="7" r="B1981">
        <v>2008</v>
      </c>
      <c s="30" r="C1981">
        <v>55</v>
      </c>
      <c t="s" s="30" r="D1981">
        <v>109</v>
      </c>
      <c t="s" s="30" r="E1981">
        <v>4</v>
      </c>
      <c t="s" s="30" r="F1981">
        <v>4</v>
      </c>
      <c t="s" s="30" r="G1981">
        <v>270</v>
      </c>
      <c t="str" s="12" r="H1981">
        <f>HYPERLINK("http://sofifa.com/en/fifa13winter/player/146638-renat-yanbaev","R. Yanbaev")</f>
        <v>R. Yanbaev</v>
      </c>
      <c s="30" r="I1981">
        <v>73</v>
      </c>
      <c t="s" s="30" r="J1981">
        <v>117</v>
      </c>
      <c t="s" s="30" r="K1981">
        <v>118</v>
      </c>
      <c t="s" s="30" r="L1981">
        <v>142</v>
      </c>
      <c s="30" r="M1981">
        <v>28</v>
      </c>
      <c s="26" r="N1981">
        <v>2.7</v>
      </c>
      <c s="23" r="O1981">
        <v>0.01</v>
      </c>
      <c s="7" r="P1981"/>
      <c s="7" r="Q1981"/>
      <c s="7" r="R1981">
        <f>IF((P1981&gt;0),O1981,0)</f>
        <v>0</v>
      </c>
      <c t="str" r="S1981">
        <f>CONCATENATE(F1981,E1981)</f>
        <v>NON FTLNON FTL</v>
      </c>
    </row>
    <row r="1982">
      <c t="s" s="7" r="A1982">
        <v>201</v>
      </c>
      <c s="7" r="B1982">
        <v>2009</v>
      </c>
      <c s="30" r="C1982">
        <v>14</v>
      </c>
      <c t="s" s="30" r="D1982">
        <v>112</v>
      </c>
      <c t="s" s="30" r="E1982">
        <v>4</v>
      </c>
      <c t="s" s="30" r="F1982">
        <v>4</v>
      </c>
      <c t="s" s="30" r="G1982">
        <v>270</v>
      </c>
      <c t="str" s="12" r="H1982">
        <f>HYPERLINK("http://sofifa.com/en/fifa13winter/player/147307-vedran-corluka","V. Ćorluka")</f>
        <v>V. Ćorluka</v>
      </c>
      <c s="30" r="I1982">
        <v>77</v>
      </c>
      <c t="s" s="30" r="J1982">
        <v>113</v>
      </c>
      <c t="s" s="30" r="K1982">
        <v>165</v>
      </c>
      <c t="s" s="30" r="L1982">
        <v>156</v>
      </c>
      <c s="30" r="M1982">
        <v>26</v>
      </c>
      <c s="26" r="N1982">
        <v>5.5</v>
      </c>
      <c s="23" r="O1982">
        <v>0.017</v>
      </c>
      <c s="7" r="P1982"/>
      <c s="7" r="Q1982"/>
      <c s="7" r="R1982">
        <f>IF((P1982&gt;0),O1982,0)</f>
        <v>0</v>
      </c>
      <c t="str" r="S1982">
        <f>CONCATENATE(F1982,E1982)</f>
        <v>NON FTLNON FTL</v>
      </c>
    </row>
    <row r="1983">
      <c t="s" s="7" r="A1983">
        <v>201</v>
      </c>
      <c s="7" r="B1983">
        <v>2010</v>
      </c>
      <c s="30" r="C1983">
        <v>28</v>
      </c>
      <c t="s" s="30" r="D1983">
        <v>116</v>
      </c>
      <c t="s" s="30" r="E1983">
        <v>4</v>
      </c>
      <c t="s" s="30" r="F1983">
        <v>4</v>
      </c>
      <c t="s" s="30" r="G1983">
        <v>270</v>
      </c>
      <c t="str" s="12" r="H1983">
        <f>HYPERLINK("http://sofifa.com/en/fifa13winter/player/145789-jan-durica","J. Ďurica")</f>
        <v>J. Ďurica</v>
      </c>
      <c s="30" r="I1983">
        <v>73</v>
      </c>
      <c t="s" s="30" r="J1983">
        <v>113</v>
      </c>
      <c t="s" s="30" r="K1983">
        <v>134</v>
      </c>
      <c t="s" s="30" r="L1983">
        <v>180</v>
      </c>
      <c s="30" r="M1983">
        <v>30</v>
      </c>
      <c s="26" r="N1983">
        <v>2.5</v>
      </c>
      <c s="23" r="O1983">
        <v>0.011</v>
      </c>
      <c s="7" r="P1983"/>
      <c s="7" r="Q1983"/>
      <c s="7" r="R1983">
        <f>IF((P1983&gt;0),O1983,0)</f>
        <v>0</v>
      </c>
      <c t="str" r="S1983">
        <f>CONCATENATE(F1983,E1983)</f>
        <v>NON FTLNON FTL</v>
      </c>
    </row>
    <row r="1984">
      <c t="s" s="7" r="A1984">
        <v>201</v>
      </c>
      <c s="7" r="B1984">
        <v>2011</v>
      </c>
      <c s="30" r="C1984">
        <v>29</v>
      </c>
      <c t="s" s="30" r="D1984">
        <v>117</v>
      </c>
      <c t="s" s="30" r="E1984">
        <v>4</v>
      </c>
      <c t="s" s="30" r="F1984">
        <v>4</v>
      </c>
      <c t="s" s="30" r="G1984">
        <v>270</v>
      </c>
      <c t="str" s="12" r="H1984">
        <f>HYPERLINK("http://sofifa.com/en/fifa13winter/player/147690-vitaliy-denisov","V. Denisov")</f>
        <v>V. Denisov</v>
      </c>
      <c s="30" r="I1984">
        <v>69</v>
      </c>
      <c t="s" s="30" r="J1984">
        <v>117</v>
      </c>
      <c t="s" s="30" r="K1984">
        <v>118</v>
      </c>
      <c t="s" s="30" r="L1984">
        <v>151</v>
      </c>
      <c s="30" r="M1984">
        <v>25</v>
      </c>
      <c s="26" r="N1984">
        <v>1.6</v>
      </c>
      <c s="23" r="O1984">
        <v>0.007</v>
      </c>
      <c s="7" r="P1984"/>
      <c s="7" r="Q1984"/>
      <c s="7" r="R1984">
        <f>IF((P1984&gt;0),O1984,0)</f>
        <v>0</v>
      </c>
      <c t="str" r="S1984">
        <f>CONCATENATE(F1984,E1984)</f>
        <v>NON FTLNON FTL</v>
      </c>
    </row>
    <row r="1985">
      <c t="s" s="7" r="A1985">
        <v>201</v>
      </c>
      <c s="7" r="B1985">
        <v>2012</v>
      </c>
      <c s="30" r="C1985">
        <v>23</v>
      </c>
      <c t="s" s="30" r="D1985">
        <v>186</v>
      </c>
      <c t="s" s="30" r="E1985">
        <v>4</v>
      </c>
      <c t="s" s="30" r="F1985">
        <v>4</v>
      </c>
      <c t="s" s="30" r="G1985">
        <v>270</v>
      </c>
      <c t="str" s="12" r="H1985">
        <f>HYPERLINK("http://sofifa.com/en/fifa13winter/player/147713-dmitriy-tarasov","D. Tarasov")</f>
        <v>D. Tarasov</v>
      </c>
      <c s="30" r="I1985">
        <v>68</v>
      </c>
      <c t="s" s="30" r="J1985">
        <v>124</v>
      </c>
      <c t="s" s="30" r="K1985">
        <v>165</v>
      </c>
      <c t="s" s="30" r="L1985">
        <v>156</v>
      </c>
      <c s="30" r="M1985">
        <v>25</v>
      </c>
      <c s="26" r="N1985">
        <v>1.5</v>
      </c>
      <c s="23" r="O1985">
        <v>0.006</v>
      </c>
      <c s="7" r="P1985"/>
      <c s="7" r="Q1985"/>
      <c s="7" r="R1985">
        <f>IF((P1985&gt;0),O1985,0)</f>
        <v>0</v>
      </c>
      <c t="str" r="S1985">
        <f>CONCATENATE(F1985,E1985)</f>
        <v>NON FTLNON FTL</v>
      </c>
    </row>
    <row r="1986">
      <c t="s" s="7" r="A1986">
        <v>201</v>
      </c>
      <c s="7" r="B1986">
        <v>2013</v>
      </c>
      <c s="30" r="C1986">
        <v>26</v>
      </c>
      <c t="s" s="30" r="D1986">
        <v>174</v>
      </c>
      <c t="s" s="30" r="E1986">
        <v>4</v>
      </c>
      <c t="s" s="30" r="F1986">
        <v>4</v>
      </c>
      <c t="s" s="30" r="G1986">
        <v>270</v>
      </c>
      <c t="str" s="12" r="H1986">
        <f>HYPERLINK("http://sofifa.com/en/fifa13winter/player/146610-yan-tigorev","Y. Tigorev")</f>
        <v>Y. Tigorev</v>
      </c>
      <c s="30" r="I1986">
        <v>68</v>
      </c>
      <c t="s" s="30" r="J1986">
        <v>154</v>
      </c>
      <c t="s" s="30" r="K1986">
        <v>114</v>
      </c>
      <c t="s" s="30" r="L1986">
        <v>119</v>
      </c>
      <c s="30" r="M1986">
        <v>28</v>
      </c>
      <c s="26" r="N1986">
        <v>1.4</v>
      </c>
      <c s="23" r="O1986">
        <v>0.006</v>
      </c>
      <c s="7" r="P1986"/>
      <c s="7" r="Q1986"/>
      <c s="7" r="R1986">
        <f>IF((P1986&gt;0),O1986,0)</f>
        <v>0</v>
      </c>
      <c t="str" r="S1986">
        <f>CONCATENATE(F1986,E1986)</f>
        <v>NON FTLNON FTL</v>
      </c>
    </row>
    <row r="1987">
      <c t="s" s="7" r="A1987">
        <v>201</v>
      </c>
      <c s="7" r="B1987">
        <v>2014</v>
      </c>
      <c s="30" r="C1987">
        <v>19</v>
      </c>
      <c t="s" s="30" r="D1987">
        <v>234</v>
      </c>
      <c t="s" s="30" r="E1987">
        <v>4</v>
      </c>
      <c t="s" s="30" r="F1987">
        <v>4</v>
      </c>
      <c t="s" s="30" r="G1987">
        <v>270</v>
      </c>
      <c t="str" s="12" r="H1987">
        <f>HYPERLINK("http://sofifa.com/en/fifa13winter/player/146741-alexandr-samedov","A. Samedov")</f>
        <v>A. Samedov</v>
      </c>
      <c s="30" r="I1987">
        <v>80</v>
      </c>
      <c t="s" s="30" r="J1987">
        <v>162</v>
      </c>
      <c t="s" s="30" r="K1987">
        <v>159</v>
      </c>
      <c t="s" s="30" r="L1987">
        <v>151</v>
      </c>
      <c s="30" r="M1987">
        <v>28</v>
      </c>
      <c s="26" r="N1987">
        <v>10.5</v>
      </c>
      <c s="23" r="O1987">
        <v>0.031</v>
      </c>
      <c s="7" r="P1987"/>
      <c s="7" r="Q1987"/>
      <c s="7" r="R1987">
        <f>IF((P1987&gt;0),O1987,0)</f>
        <v>0</v>
      </c>
      <c t="str" r="S1987">
        <f>CONCATENATE(F1987,E1987)</f>
        <v>NON FTLNON FTL</v>
      </c>
    </row>
    <row r="1988">
      <c t="s" s="7" r="A1988">
        <v>201</v>
      </c>
      <c s="7" r="B1988">
        <v>2015</v>
      </c>
      <c s="30" r="C1988">
        <v>8</v>
      </c>
      <c t="s" s="30" r="D1988">
        <v>162</v>
      </c>
      <c t="s" s="30" r="E1988">
        <v>4</v>
      </c>
      <c t="s" s="30" r="F1988">
        <v>4</v>
      </c>
      <c t="s" s="30" r="G1988">
        <v>270</v>
      </c>
      <c t="str" s="12" r="H1988">
        <f>HYPERLINK("http://sofifa.com/en/fifa13winter/player/147663-denis-glushakov","D. Glushakov")</f>
        <v>D. Glushakov</v>
      </c>
      <c s="30" r="I1988">
        <v>78</v>
      </c>
      <c t="s" s="30" r="J1988">
        <v>124</v>
      </c>
      <c t="s" s="30" r="K1988">
        <v>150</v>
      </c>
      <c t="s" s="30" r="L1988">
        <v>158</v>
      </c>
      <c s="30" r="M1988">
        <v>25</v>
      </c>
      <c s="26" r="N1988">
        <v>6.4</v>
      </c>
      <c s="23" r="O1988">
        <v>0.019</v>
      </c>
      <c s="7" r="P1988"/>
      <c s="7" r="Q1988"/>
      <c s="7" r="R1988">
        <f>IF((P1988&gt;0),O1988,0)</f>
        <v>0</v>
      </c>
      <c t="str" r="S1988">
        <f>CONCATENATE(F1988,E1988)</f>
        <v>NON FTLNON FTL</v>
      </c>
    </row>
    <row r="1989">
      <c t="s" s="7" r="A1989">
        <v>201</v>
      </c>
      <c s="7" r="B1989">
        <v>2016</v>
      </c>
      <c s="30" r="C1989">
        <v>90</v>
      </c>
      <c t="s" s="30" r="D1989">
        <v>235</v>
      </c>
      <c t="s" s="30" r="E1989">
        <v>4</v>
      </c>
      <c t="s" s="30" r="F1989">
        <v>4</v>
      </c>
      <c t="s" s="30" r="G1989">
        <v>270</v>
      </c>
      <c t="str" s="12" r="H1989">
        <f>HYPERLINK("http://sofifa.com/en/fifa13winter/player/148781-maicon-marques-bittencourt","Maicon")</f>
        <v>Maicon</v>
      </c>
      <c s="30" r="I1989">
        <v>73</v>
      </c>
      <c t="s" s="30" r="J1989">
        <v>128</v>
      </c>
      <c t="s" s="30" r="K1989">
        <v>110</v>
      </c>
      <c t="s" s="30" r="L1989">
        <v>119</v>
      </c>
      <c s="30" r="M1989">
        <v>22</v>
      </c>
      <c s="26" r="N1989">
        <v>3.7</v>
      </c>
      <c s="23" r="O1989">
        <v>0.009</v>
      </c>
      <c s="7" r="P1989"/>
      <c s="7" r="Q1989"/>
      <c s="7" r="R1989">
        <f>IF((P1989&gt;0),O1989,0)</f>
        <v>0</v>
      </c>
      <c t="str" r="S1989">
        <f>CONCATENATE(F1989,E1989)</f>
        <v>NON FTLNON FTL</v>
      </c>
    </row>
    <row r="1990">
      <c t="s" s="7" r="A1990">
        <v>201</v>
      </c>
      <c s="7" r="B1990">
        <v>2017</v>
      </c>
      <c s="30" r="C1990">
        <v>33</v>
      </c>
      <c t="s" s="30" r="D1990">
        <v>129</v>
      </c>
      <c t="s" s="30" r="E1990">
        <v>4</v>
      </c>
      <c t="s" s="30" r="F1990">
        <v>4</v>
      </c>
      <c t="s" s="30" r="G1990">
        <v>270</v>
      </c>
      <c t="str" s="12" r="H1990">
        <f>HYPERLINK("http://sofifa.com/en/fifa13winter/player/146958-dame-ndoye","D. N'Doye")</f>
        <v>D. N'Doye</v>
      </c>
      <c s="30" r="I1990">
        <v>76</v>
      </c>
      <c t="s" s="30" r="J1990">
        <v>129</v>
      </c>
      <c t="s" s="30" r="K1990">
        <v>173</v>
      </c>
      <c t="s" s="30" r="L1990">
        <v>183</v>
      </c>
      <c s="30" r="M1990">
        <v>27</v>
      </c>
      <c s="26" r="N1990">
        <v>5.7</v>
      </c>
      <c s="23" r="O1990">
        <v>0.015</v>
      </c>
      <c s="7" r="P1990"/>
      <c s="7" r="Q1990"/>
      <c s="7" r="R1990">
        <f>IF((P1990&gt;0),O1990,0)</f>
        <v>0</v>
      </c>
      <c t="str" r="S1990">
        <f>CONCATENATE(F1990,E1990)</f>
        <v>NON FTLNON FTL</v>
      </c>
    </row>
    <row r="1991">
      <c t="s" s="7" r="A1991">
        <v>201</v>
      </c>
      <c s="7" r="B1991">
        <v>2018</v>
      </c>
      <c s="30" r="C1991">
        <v>6</v>
      </c>
      <c t="s" s="30" r="D1991">
        <v>136</v>
      </c>
      <c t="s" s="30" r="E1991">
        <v>4</v>
      </c>
      <c t="s" s="30" r="F1991">
        <v>4</v>
      </c>
      <c t="s" s="30" r="G1991">
        <v>270</v>
      </c>
      <c t="str" s="12" r="H1991">
        <f>HYPERLINK("http://sofifa.com/en/fifa13winter/player/148919-maxim-grigoriev","M. Grigoriev")</f>
        <v>M. Grigoriev</v>
      </c>
      <c s="30" r="I1991">
        <v>64</v>
      </c>
      <c t="s" s="30" r="J1991">
        <v>162</v>
      </c>
      <c t="s" s="30" r="K1991">
        <v>134</v>
      </c>
      <c t="s" s="30" r="L1991">
        <v>151</v>
      </c>
      <c s="30" r="M1991">
        <v>22</v>
      </c>
      <c s="26" r="N1991">
        <v>1.1</v>
      </c>
      <c s="23" r="O1991">
        <v>0.004</v>
      </c>
      <c s="7" r="P1991"/>
      <c s="7" r="Q1991"/>
      <c s="7" r="R1991">
        <f>IF((P1991&gt;0),O1991,0)</f>
        <v>0</v>
      </c>
      <c t="str" r="S1991">
        <f>CONCATENATE(F1991,E1991)</f>
        <v>NON FTLNON FTL</v>
      </c>
    </row>
    <row r="1992">
      <c t="s" s="7" r="A1992">
        <v>201</v>
      </c>
      <c s="7" r="B1992">
        <v>2019</v>
      </c>
      <c s="30" r="C1992">
        <v>27</v>
      </c>
      <c t="s" s="30" r="D1992">
        <v>136</v>
      </c>
      <c t="s" s="30" r="E1992">
        <v>4</v>
      </c>
      <c t="s" s="30" r="F1992">
        <v>4</v>
      </c>
      <c t="s" s="30" r="G1992">
        <v>270</v>
      </c>
      <c t="str" s="12" r="H1992">
        <f>HYPERLINK("http://sofifa.com/en/fifa13winter/player/149772-magomed-ozdoev","M. Ozdoev")</f>
        <v>M. Ozdoev</v>
      </c>
      <c s="30" r="I1992">
        <v>71</v>
      </c>
      <c t="s" s="30" r="J1992">
        <v>154</v>
      </c>
      <c t="s" s="30" r="K1992">
        <v>150</v>
      </c>
      <c t="s" s="30" r="L1992">
        <v>138</v>
      </c>
      <c s="30" r="M1992">
        <v>19</v>
      </c>
      <c s="26" r="N1992">
        <v>2.4</v>
      </c>
      <c s="23" r="O1992">
        <v>0.006</v>
      </c>
      <c s="7" r="P1992"/>
      <c s="7" r="Q1992"/>
      <c s="7" r="R1992">
        <f>IF((P1992&gt;0),O1992,0)</f>
        <v>0</v>
      </c>
      <c t="str" r="S1992">
        <f>CONCATENATE(F1992,E1992)</f>
        <v>NON FTLNON FTL</v>
      </c>
    </row>
    <row r="1993">
      <c t="s" s="7" r="A1993">
        <v>201</v>
      </c>
      <c s="7" r="B1993">
        <v>2020</v>
      </c>
      <c s="30" r="C1993">
        <v>79</v>
      </c>
      <c t="s" s="30" r="D1993">
        <v>136</v>
      </c>
      <c t="s" s="30" r="E1993">
        <v>4</v>
      </c>
      <c t="s" s="30" r="F1993">
        <v>4</v>
      </c>
      <c t="s" s="30" r="G1993">
        <v>270</v>
      </c>
      <c t="str" s="12" r="H1993">
        <f>HYPERLINK("http://sofifa.com/en/fifa13winter/player/150750-vitaliy-lystsov","V. Lystsov")</f>
        <v>V. Lystsov</v>
      </c>
      <c s="30" r="I1993">
        <v>57</v>
      </c>
      <c t="s" s="30" r="J1993">
        <v>113</v>
      </c>
      <c t="s" s="30" r="K1993">
        <v>144</v>
      </c>
      <c t="s" s="30" r="L1993">
        <v>108</v>
      </c>
      <c s="30" r="M1993">
        <v>17</v>
      </c>
      <c s="26" r="N1993">
        <v>0.2</v>
      </c>
      <c s="23" r="O1993">
        <v>0.002</v>
      </c>
      <c s="7" r="P1993"/>
      <c s="7" r="Q1993"/>
      <c s="7" r="R1993">
        <f>IF((P1993&gt;0),O1993,0)</f>
        <v>0</v>
      </c>
      <c t="str" r="S1993">
        <f>CONCATENATE(F1993,E1993)</f>
        <v>NON FTLNON FTL</v>
      </c>
    </row>
    <row r="1994">
      <c t="s" s="7" r="A1994">
        <v>201</v>
      </c>
      <c s="7" r="B1994">
        <v>2021</v>
      </c>
      <c s="30" r="C1994">
        <v>59</v>
      </c>
      <c t="s" s="30" r="D1994">
        <v>136</v>
      </c>
      <c t="s" s="30" r="E1994">
        <v>4</v>
      </c>
      <c t="s" s="30" r="F1994">
        <v>4</v>
      </c>
      <c t="s" s="30" r="G1994">
        <v>270</v>
      </c>
      <c t="str" s="12" r="H1994">
        <f>HYPERLINK("http://sofifa.com/en/fifa13winter/player/150848-aleksey-miranchuk","A. Miranchuk")</f>
        <v>A. Miranchuk</v>
      </c>
      <c s="30" r="I1994">
        <v>56</v>
      </c>
      <c t="s" s="30" r="J1994">
        <v>128</v>
      </c>
      <c t="s" s="30" r="K1994">
        <v>143</v>
      </c>
      <c t="s" s="30" r="L1994">
        <v>160</v>
      </c>
      <c s="30" r="M1994">
        <v>16</v>
      </c>
      <c s="26" r="N1994">
        <v>0.1</v>
      </c>
      <c s="23" r="O1994">
        <v>0.001</v>
      </c>
      <c s="7" r="P1994"/>
      <c s="7" r="Q1994"/>
      <c s="7" r="R1994">
        <f>IF((P1994&gt;0),O1994,0)</f>
        <v>0</v>
      </c>
      <c t="str" r="S1994">
        <f>CONCATENATE(F1994,E1994)</f>
        <v>NON FTLNON FTL</v>
      </c>
    </row>
    <row r="1995">
      <c t="s" s="7" r="A1995">
        <v>201</v>
      </c>
      <c s="7" r="B1995">
        <v>2022</v>
      </c>
      <c s="30" r="C1995">
        <v>5</v>
      </c>
      <c t="s" s="30" r="D1995">
        <v>136</v>
      </c>
      <c t="s" s="30" r="E1995">
        <v>4</v>
      </c>
      <c t="s" s="30" r="F1995">
        <v>4</v>
      </c>
      <c t="s" s="30" r="G1995">
        <v>270</v>
      </c>
      <c t="str" s="12" r="H1995">
        <f>HYPERLINK("http://sofifa.com/en/fifa13winter/player/148785-taras-burlak","T. Burlak")</f>
        <v>T. Burlak</v>
      </c>
      <c s="30" r="I1995">
        <v>67</v>
      </c>
      <c t="s" s="30" r="J1995">
        <v>113</v>
      </c>
      <c t="s" s="30" r="K1995">
        <v>144</v>
      </c>
      <c t="s" s="30" r="L1995">
        <v>192</v>
      </c>
      <c s="30" r="M1995">
        <v>22</v>
      </c>
      <c s="26" r="N1995">
        <v>1.4</v>
      </c>
      <c s="23" r="O1995">
        <v>0.005</v>
      </c>
      <c s="7" r="P1995"/>
      <c s="7" r="Q1995"/>
      <c s="7" r="R1995">
        <f>IF((P1995&gt;0),O1995,0)</f>
        <v>0</v>
      </c>
      <c t="str" r="S1995">
        <f>CONCATENATE(F1995,E1995)</f>
        <v>NON FTLNON FTL</v>
      </c>
    </row>
    <row r="1996">
      <c t="s" s="7" r="A1996">
        <v>201</v>
      </c>
      <c s="7" r="B1996">
        <v>2023</v>
      </c>
      <c s="30" r="C1996">
        <v>22</v>
      </c>
      <c t="s" s="30" r="D1996">
        <v>136</v>
      </c>
      <c t="s" s="30" r="E1996">
        <v>4</v>
      </c>
      <c t="s" s="30" r="F1996">
        <v>4</v>
      </c>
      <c t="s" s="30" r="G1996">
        <v>270</v>
      </c>
      <c t="str" s="12" r="H1996">
        <f>HYPERLINK("http://sofifa.com/en/fifa13winter/player/146551-dario-kresic","D. Krešić")</f>
        <v>D. Krešić</v>
      </c>
      <c s="30" r="I1996">
        <v>70</v>
      </c>
      <c t="s" s="30" r="J1996">
        <v>106</v>
      </c>
      <c t="s" s="30" r="K1996">
        <v>198</v>
      </c>
      <c t="s" s="30" r="L1996">
        <v>185</v>
      </c>
      <c s="30" r="M1996">
        <v>28</v>
      </c>
      <c s="26" r="N1996">
        <v>1.4</v>
      </c>
      <c s="23" r="O1996">
        <v>0.007</v>
      </c>
      <c s="7" r="P1996"/>
      <c s="7" r="Q1996"/>
      <c s="7" r="R1996">
        <f>IF((P1996&gt;0),O1996,0)</f>
        <v>0</v>
      </c>
      <c t="str" r="S1996">
        <f>CONCATENATE(F1996,E1996)</f>
        <v>NON FTLNON FTL</v>
      </c>
    </row>
    <row r="1997">
      <c t="s" s="7" r="A1997">
        <v>201</v>
      </c>
      <c s="7" r="B1997">
        <v>2024</v>
      </c>
      <c s="30" r="C1997">
        <v>25</v>
      </c>
      <c t="s" s="30" r="D1997">
        <v>136</v>
      </c>
      <c t="s" s="30" r="E1997">
        <v>4</v>
      </c>
      <c t="s" s="30" r="F1997">
        <v>4</v>
      </c>
      <c t="s" s="30" r="G1997">
        <v>270</v>
      </c>
      <c t="str" s="12" r="H1997">
        <f>HYPERLINK("http://sofifa.com/en/fifa13winter/player/148250-felipe-caicedo","F. Caicedo")</f>
        <v>F. Caicedo</v>
      </c>
      <c s="30" r="I1997">
        <v>76</v>
      </c>
      <c t="s" s="30" r="J1997">
        <v>129</v>
      </c>
      <c t="s" s="30" r="K1997">
        <v>114</v>
      </c>
      <c t="s" s="30" r="L1997">
        <v>183</v>
      </c>
      <c s="30" r="M1997">
        <v>23</v>
      </c>
      <c s="26" r="N1997">
        <v>6.7</v>
      </c>
      <c s="23" r="O1997">
        <v>0.014</v>
      </c>
      <c s="7" r="P1997"/>
      <c s="7" r="Q1997"/>
      <c s="7" r="R1997">
        <f>IF((P1997&gt;0),O1997,0)</f>
        <v>0</v>
      </c>
      <c t="str" r="S1997">
        <f>CONCATENATE(F1997,E1997)</f>
        <v>NON FTLNON FTL</v>
      </c>
    </row>
    <row r="1998">
      <c t="s" s="7" r="A1998">
        <v>201</v>
      </c>
      <c s="7" r="B1998">
        <v>2025</v>
      </c>
      <c s="30" r="C1998">
        <v>13</v>
      </c>
      <c t="s" s="30" r="D1998">
        <v>136</v>
      </c>
      <c t="s" s="30" r="E1998">
        <v>4</v>
      </c>
      <c t="s" s="30" r="F1998">
        <v>4</v>
      </c>
      <c t="s" s="30" r="G1998">
        <v>270</v>
      </c>
      <c t="str" s="12" r="H1998">
        <f>HYPERLINK("http://sofifa.com/en/fifa13winter/player/147720-victor-obinna","V. Obinna")</f>
        <v>V. Obinna</v>
      </c>
      <c s="30" r="I1998">
        <v>72</v>
      </c>
      <c t="s" s="30" r="J1998">
        <v>120</v>
      </c>
      <c t="s" s="30" r="K1998">
        <v>118</v>
      </c>
      <c t="s" s="30" r="L1998">
        <v>161</v>
      </c>
      <c s="30" r="M1998">
        <v>25</v>
      </c>
      <c s="26" r="N1998">
        <v>2.7</v>
      </c>
      <c s="23" r="O1998">
        <v>0.009</v>
      </c>
      <c s="7" r="P1998"/>
      <c s="7" r="Q1998"/>
      <c s="7" r="R1998">
        <f>IF((P1998&gt;0),O1998,0)</f>
        <v>0</v>
      </c>
      <c t="str" r="S1998">
        <f>CONCATENATE(F1998,E1998)</f>
        <v>NON FTLNON FTL</v>
      </c>
    </row>
    <row r="1999">
      <c t="s" s="7" r="A1999">
        <v>201</v>
      </c>
      <c s="7" r="B1999">
        <v>2026</v>
      </c>
      <c s="30" r="C1999">
        <v>49</v>
      </c>
      <c t="s" s="30" r="D1999">
        <v>136</v>
      </c>
      <c t="s" s="30" r="E1999">
        <v>4</v>
      </c>
      <c t="s" s="30" r="F1999">
        <v>4</v>
      </c>
      <c t="s" s="30" r="G1999">
        <v>270</v>
      </c>
      <c t="str" s="12" r="H1999">
        <f>HYPERLINK("http://sofifa.com/en/fifa13winter/player/147663-roman-shishkin","R. Shishkin")</f>
        <v>R. Shishkin</v>
      </c>
      <c s="30" r="I1999">
        <v>73</v>
      </c>
      <c t="s" s="30" r="J1999">
        <v>109</v>
      </c>
      <c t="s" s="30" r="K1999">
        <v>172</v>
      </c>
      <c t="s" s="30" r="L1999">
        <v>119</v>
      </c>
      <c s="30" r="M1999">
        <v>25</v>
      </c>
      <c s="26" r="N1999">
        <v>2.8</v>
      </c>
      <c s="23" r="O1999">
        <v>0.01</v>
      </c>
      <c s="7" r="P1999"/>
      <c s="7" r="Q1999"/>
      <c s="7" r="R1999">
        <f>IF((P1999&gt;0),O1999,0)</f>
        <v>0</v>
      </c>
      <c t="str" r="S1999">
        <f>CONCATENATE(F1999,E1999)</f>
        <v>NON FTLNON FTL</v>
      </c>
    </row>
    <row r="2000">
      <c t="s" s="7" r="A2000">
        <v>201</v>
      </c>
      <c s="7" r="B2000">
        <v>2027</v>
      </c>
      <c s="30" r="C2000">
        <v>4</v>
      </c>
      <c t="s" s="30" r="D2000">
        <v>136</v>
      </c>
      <c t="s" s="30" r="E2000">
        <v>4</v>
      </c>
      <c t="s" s="30" r="F2000">
        <v>4</v>
      </c>
      <c t="s" s="30" r="G2000">
        <v>270</v>
      </c>
      <c t="str" s="12" r="H2000">
        <f>HYPERLINK("http://sofifa.com/en/fifa13winter/player/147070-alberto-zapater-arjol","Zapater")</f>
        <v>Zapater</v>
      </c>
      <c s="30" r="I2000">
        <v>73</v>
      </c>
      <c t="s" s="30" r="J2000">
        <v>124</v>
      </c>
      <c t="s" s="30" r="K2000">
        <v>114</v>
      </c>
      <c t="s" s="30" r="L2000">
        <v>193</v>
      </c>
      <c s="30" r="M2000">
        <v>27</v>
      </c>
      <c s="26" r="N2000">
        <v>2.9</v>
      </c>
      <c s="23" r="O2000">
        <v>0.01</v>
      </c>
      <c s="7" r="P2000"/>
      <c s="7" r="Q2000"/>
      <c s="7" r="R2000">
        <f>IF((P2000&gt;0),O2000,0)</f>
        <v>0</v>
      </c>
      <c t="str" r="S2000">
        <f>CONCATENATE(F2000,E2000)</f>
        <v>NON FTLNON FTL</v>
      </c>
    </row>
    <row r="2001">
      <c t="s" s="7" r="A2001">
        <v>201</v>
      </c>
      <c s="7" r="B2001">
        <v>2028</v>
      </c>
      <c s="30" r="C2001">
        <v>21</v>
      </c>
      <c t="s" s="30" r="D2001">
        <v>136</v>
      </c>
      <c t="s" s="30" r="E2001">
        <v>4</v>
      </c>
      <c t="s" s="30" r="F2001">
        <v>4</v>
      </c>
      <c t="s" s="30" r="G2001">
        <v>270</v>
      </c>
      <c t="str" s="12" r="H2001">
        <f>HYPERLINK("http://sofifa.com/en/fifa13winter/player/146659-dmitriy-torbinskiy","D. Torbinskiy")</f>
        <v>D. Torbinskiy</v>
      </c>
      <c s="30" r="I2001">
        <v>72</v>
      </c>
      <c t="s" s="30" r="J2001">
        <v>128</v>
      </c>
      <c t="s" s="30" r="K2001">
        <v>172</v>
      </c>
      <c t="s" s="30" r="L2001">
        <v>127</v>
      </c>
      <c s="30" r="M2001">
        <v>28</v>
      </c>
      <c s="26" r="N2001">
        <v>2.6</v>
      </c>
      <c s="23" r="O2001">
        <v>0.009</v>
      </c>
      <c s="7" r="P2001"/>
      <c s="7" r="Q2001"/>
      <c s="7" r="R2001">
        <f>IF((P2001&gt;0),O2001,0)</f>
        <v>0</v>
      </c>
      <c t="str" r="S2001">
        <f>CONCATENATE(F2001,E2001)</f>
        <v>NON FTLNON FTL</v>
      </c>
    </row>
    <row r="2002">
      <c t="s" s="7" r="A2002">
        <v>201</v>
      </c>
      <c s="7" r="B2002">
        <v>2029</v>
      </c>
      <c s="30" r="C2002">
        <v>18</v>
      </c>
      <c t="s" s="30" r="D2002">
        <v>136</v>
      </c>
      <c t="s" s="30" r="E2002">
        <v>4</v>
      </c>
      <c t="s" s="30" r="F2002">
        <v>4</v>
      </c>
      <c t="s" s="30" r="G2002">
        <v>270</v>
      </c>
      <c t="str" s="12" r="H2002">
        <f>HYPERLINK("http://sofifa.com/en/fifa13winter/player/145794-roman-pavlyuchenko","R. Pavlyuchenko")</f>
        <v>R. Pavlyuchenko</v>
      </c>
      <c s="30" r="I2002">
        <v>75</v>
      </c>
      <c t="s" s="30" r="J2002">
        <v>129</v>
      </c>
      <c t="s" s="30" r="K2002">
        <v>134</v>
      </c>
      <c t="s" s="30" r="L2002">
        <v>156</v>
      </c>
      <c s="30" r="M2002">
        <v>30</v>
      </c>
      <c s="26" r="N2002">
        <v>4.2</v>
      </c>
      <c s="23" r="O2002">
        <v>0.014</v>
      </c>
      <c s="7" r="P2002"/>
      <c s="7" r="Q2002"/>
      <c s="7" r="R2002">
        <f>IF((P2002&gt;0),O2002,0)</f>
        <v>0</v>
      </c>
      <c t="str" r="S2002">
        <f>CONCATENATE(F2002,E2002)</f>
        <v>NON FTLNON FTL</v>
      </c>
    </row>
    <row r="2003">
      <c t="s" s="7" r="A2003">
        <v>201</v>
      </c>
      <c s="7" r="B2003">
        <v>2030</v>
      </c>
      <c s="30" r="C2003">
        <v>10</v>
      </c>
      <c t="s" s="30" r="D2003">
        <v>147</v>
      </c>
      <c t="s" s="30" r="E2003">
        <v>4</v>
      </c>
      <c t="s" s="30" r="F2003">
        <v>4</v>
      </c>
      <c t="s" s="30" r="G2003">
        <v>270</v>
      </c>
      <c t="str" s="12" r="H2003">
        <f>HYPERLINK("http://sofifa.com/en/fifa13winter/player/142931-dmitriy-loskov","D. Loskov")</f>
        <v>D. Loskov</v>
      </c>
      <c s="30" r="I2003">
        <v>72</v>
      </c>
      <c t="s" s="30" r="J2003">
        <v>124</v>
      </c>
      <c t="s" s="30" r="K2003">
        <v>118</v>
      </c>
      <c t="s" s="30" r="L2003">
        <v>138</v>
      </c>
      <c s="30" r="M2003">
        <v>38</v>
      </c>
      <c s="26" r="N2003">
        <v>1.3</v>
      </c>
      <c s="23" r="O2003">
        <v>0.011</v>
      </c>
      <c s="7" r="P2003"/>
      <c s="7" r="Q2003"/>
      <c s="7" r="R2003">
        <f>IF((P2003&gt;0),O2003,0)</f>
        <v>0</v>
      </c>
      <c t="str" r="S2003">
        <f>CONCATENATE(F2003,E2003)</f>
        <v>NON FTLNON FTL</v>
      </c>
    </row>
    <row r="2004">
      <c t="s" s="7" r="A2004">
        <v>201</v>
      </c>
      <c s="7" r="B2004">
        <v>2031</v>
      </c>
      <c s="30" r="C2004">
        <v>72</v>
      </c>
      <c t="s" s="30" r="D2004">
        <v>147</v>
      </c>
      <c t="s" s="30" r="E2004">
        <v>4</v>
      </c>
      <c t="s" s="30" r="F2004">
        <v>4</v>
      </c>
      <c t="s" s="30" r="G2004">
        <v>270</v>
      </c>
      <c t="str" s="12" r="H2004">
        <f>HYPERLINK("http://sofifa.com/en/fifa13winter/player/150198-kamil-mullin","K. Mullin")</f>
        <v>K. Mullin</v>
      </c>
      <c s="30" r="I2004">
        <v>58</v>
      </c>
      <c t="s" s="30" r="J2004">
        <v>129</v>
      </c>
      <c t="s" s="30" r="K2004">
        <v>118</v>
      </c>
      <c t="s" s="30" r="L2004">
        <v>115</v>
      </c>
      <c s="30" r="M2004">
        <v>18</v>
      </c>
      <c s="26" r="N2004">
        <v>0.4</v>
      </c>
      <c s="23" r="O2004">
        <v>0.002</v>
      </c>
      <c s="7" r="P2004"/>
      <c s="7" r="Q2004"/>
      <c s="7" r="R2004">
        <f>IF((P2004&gt;0),O2004,0)</f>
        <v>0</v>
      </c>
      <c t="str" r="S2004">
        <f>CONCATENATE(F2004,E2004)</f>
        <v>NON FTLNON FTL</v>
      </c>
    </row>
    <row r="2005">
      <c t="s" s="7" r="A2005">
        <v>201</v>
      </c>
      <c s="7" r="B2005">
        <v>2032</v>
      </c>
      <c s="30" r="C2005">
        <v>67</v>
      </c>
      <c t="s" s="30" r="D2005">
        <v>147</v>
      </c>
      <c t="s" s="30" r="E2005">
        <v>4</v>
      </c>
      <c t="s" s="30" r="F2005">
        <v>4</v>
      </c>
      <c t="s" s="30" r="G2005">
        <v>270</v>
      </c>
      <c t="str" s="12" r="H2005">
        <f>HYPERLINK("http://sofifa.com/en/fifa13winter/player/150663-temur-mustafin","T. Mustafin")</f>
        <v>T. Mustafin</v>
      </c>
      <c s="30" r="I2005">
        <v>58</v>
      </c>
      <c t="s" s="30" r="J2005">
        <v>113</v>
      </c>
      <c t="s" s="30" r="K2005">
        <v>145</v>
      </c>
      <c t="s" s="30" r="L2005">
        <v>115</v>
      </c>
      <c s="30" r="M2005">
        <v>17</v>
      </c>
      <c s="26" r="N2005">
        <v>0.3</v>
      </c>
      <c s="23" r="O2005">
        <v>0.002</v>
      </c>
      <c s="7" r="P2005"/>
      <c s="7" r="Q2005"/>
      <c s="7" r="R2005">
        <f>IF((P2005&gt;0),O2005,0)</f>
        <v>0</v>
      </c>
      <c t="str" r="S2005">
        <f>CONCATENATE(F2005,E2005)</f>
        <v>NON FTLNON FTL</v>
      </c>
    </row>
    <row r="2006">
      <c t="s" s="7" r="A2006">
        <v>201</v>
      </c>
      <c s="7" r="B2006">
        <v>2033</v>
      </c>
      <c s="30" r="C2006">
        <v>41</v>
      </c>
      <c t="s" s="30" r="D2006">
        <v>147</v>
      </c>
      <c t="s" s="30" r="E2006">
        <v>4</v>
      </c>
      <c t="s" s="30" r="F2006">
        <v>4</v>
      </c>
      <c t="s" s="30" r="G2006">
        <v>270</v>
      </c>
      <c t="str" s="12" r="H2006">
        <f>HYPERLINK("http://sofifa.com/en/fifa13winter/player/150705-miroslav-lobantsev","M. Lobantsev")</f>
        <v>M. Lobantsev</v>
      </c>
      <c s="30" r="I2006">
        <v>66</v>
      </c>
      <c t="s" s="30" r="J2006">
        <v>106</v>
      </c>
      <c t="s" s="30" r="K2006">
        <v>169</v>
      </c>
      <c t="s" s="30" r="L2006">
        <v>153</v>
      </c>
      <c s="30" r="M2006">
        <v>17</v>
      </c>
      <c s="26" r="N2006">
        <v>1.2</v>
      </c>
      <c s="23" r="O2006">
        <v>0.004</v>
      </c>
      <c s="7" r="P2006"/>
      <c s="7" r="Q2006"/>
      <c s="7" r="R2006">
        <f>IF((P2006&gt;0),O2006,0)</f>
        <v>0</v>
      </c>
      <c t="str" r="S2006">
        <f>CONCATENATE(F2006,E2006)</f>
        <v>NON FTLNON FTL</v>
      </c>
    </row>
    <row r="2007">
      <c t="s" s="7" r="A2007">
        <v>201</v>
      </c>
      <c s="7" r="B2007">
        <v>2034</v>
      </c>
      <c s="30" r="C2007">
        <v>65</v>
      </c>
      <c t="s" s="30" r="D2007">
        <v>147</v>
      </c>
      <c t="s" s="30" r="E2007">
        <v>4</v>
      </c>
      <c t="s" s="30" r="F2007">
        <v>4</v>
      </c>
      <c t="s" s="30" r="G2007">
        <v>270</v>
      </c>
      <c t="str" s="12" r="H2007">
        <f>HYPERLINK("http://sofifa.com/en/fifa13winter/player/149635-vyacheslav-podberezkin","V. Podberezkin")</f>
        <v>V. Podberezkin</v>
      </c>
      <c s="30" r="I2007">
        <v>62</v>
      </c>
      <c t="s" s="30" r="J2007">
        <v>162</v>
      </c>
      <c t="s" s="30" r="K2007">
        <v>173</v>
      </c>
      <c t="s" s="30" r="L2007">
        <v>137</v>
      </c>
      <c s="30" r="M2007">
        <v>20</v>
      </c>
      <c s="26" r="N2007">
        <v>0.9</v>
      </c>
      <c s="23" r="O2007">
        <v>0.003</v>
      </c>
      <c s="7" r="P2007"/>
      <c s="7" r="Q2007"/>
      <c s="7" r="R2007">
        <f>IF((P2007&gt;0),O2007,0)</f>
        <v>0</v>
      </c>
      <c t="str" r="S2007">
        <f>CONCATENATE(F2007,E2007)</f>
        <v>NON FTLNON FTL</v>
      </c>
    </row>
    <row r="2008">
      <c t="s" s="7" r="A2008">
        <v>201</v>
      </c>
      <c s="7" r="B2008">
        <v>2035</v>
      </c>
      <c s="30" r="C2008">
        <v>48</v>
      </c>
      <c t="s" s="30" r="D2008">
        <v>147</v>
      </c>
      <c t="s" s="30" r="E2008">
        <v>4</v>
      </c>
      <c t="s" s="30" r="F2008">
        <v>4</v>
      </c>
      <c t="s" s="30" r="G2008">
        <v>270</v>
      </c>
      <c t="str" s="12" r="H2008">
        <f>HYPERLINK("http://sofifa.com/en/fifa13winter/player/150076-sandro-tsveiba","S. Tsveiba")</f>
        <v>S. Tsveiba</v>
      </c>
      <c s="30" r="I2008">
        <v>57</v>
      </c>
      <c t="s" s="30" r="J2008">
        <v>113</v>
      </c>
      <c t="s" s="30" r="K2008">
        <v>110</v>
      </c>
      <c t="s" s="30" r="L2008">
        <v>146</v>
      </c>
      <c s="30" r="M2008">
        <v>18</v>
      </c>
      <c s="26" r="N2008">
        <v>0.2</v>
      </c>
      <c s="23" r="O2008">
        <v>0.002</v>
      </c>
      <c s="7" r="P2008"/>
      <c s="7" r="Q2008"/>
      <c s="7" r="R2008">
        <f>IF((P2008&gt;0),O2008,0)</f>
        <v>0</v>
      </c>
      <c t="str" r="S2008">
        <f>CONCATENATE(F2008,E2008)</f>
        <v>NON FTLNON FTL</v>
      </c>
    </row>
    <row r="2009">
      <c t="s" s="7" r="A2009">
        <v>201</v>
      </c>
      <c s="7" r="B2009">
        <v>2036</v>
      </c>
      <c s="30" r="C2009">
        <v>31</v>
      </c>
      <c t="s" s="30" r="D2009">
        <v>106</v>
      </c>
      <c t="s" s="30" r="E2009">
        <v>4</v>
      </c>
      <c t="s" s="30" r="F2009">
        <v>4</v>
      </c>
      <c t="s" s="30" r="G2009">
        <v>271</v>
      </c>
      <c t="str" s="12" r="H2009">
        <f>HYPERLINK("http://sofifa.com/en/fifa13winter/player/148921-kevin-trapp","K. Trapp")</f>
        <v>K. Trapp</v>
      </c>
      <c s="30" r="I2009">
        <v>79</v>
      </c>
      <c t="s" s="30" r="J2009">
        <v>106</v>
      </c>
      <c t="s" s="30" r="K2009">
        <v>169</v>
      </c>
      <c t="s" s="30" r="L2009">
        <v>108</v>
      </c>
      <c s="30" r="M2009">
        <v>22</v>
      </c>
      <c s="26" r="N2009">
        <v>6.5</v>
      </c>
      <c s="23" r="O2009">
        <v>0.02</v>
      </c>
      <c s="7" r="P2009"/>
      <c s="7" r="Q2009"/>
      <c s="7" r="R2009">
        <f>IF((P2009&gt;0),O2009,0)</f>
        <v>0</v>
      </c>
      <c t="str" r="S2009">
        <f>CONCATENATE(F2009,E2009)</f>
        <v>NON FTLNON FTL</v>
      </c>
    </row>
    <row r="2010">
      <c t="s" s="7" r="A2010">
        <v>201</v>
      </c>
      <c s="7" r="B2010">
        <v>2037</v>
      </c>
      <c s="30" r="C2010">
        <v>24</v>
      </c>
      <c t="s" s="30" r="D2010">
        <v>109</v>
      </c>
      <c t="s" s="30" r="E2010">
        <v>4</v>
      </c>
      <c t="s" s="30" r="F2010">
        <v>4</v>
      </c>
      <c t="s" s="30" r="G2010">
        <v>271</v>
      </c>
      <c t="str" s="12" r="H2010">
        <f>HYPERLINK("http://sofifa.com/en/fifa13winter/player/148905-sebastian-jung","S. Jung")</f>
        <v>S. Jung</v>
      </c>
      <c s="30" r="I2010">
        <v>76</v>
      </c>
      <c t="s" s="30" r="J2010">
        <v>109</v>
      </c>
      <c t="s" s="30" r="K2010">
        <v>145</v>
      </c>
      <c t="s" s="30" r="L2010">
        <v>146</v>
      </c>
      <c s="30" r="M2010">
        <v>22</v>
      </c>
      <c s="26" r="N2010">
        <v>4.9</v>
      </c>
      <c s="23" r="O2010">
        <v>0.014</v>
      </c>
      <c s="7" r="P2010"/>
      <c s="7" r="Q2010"/>
      <c s="7" r="R2010">
        <f>IF((P2010&gt;0),O2010,0)</f>
        <v>0</v>
      </c>
      <c t="str" r="S2010">
        <f>CONCATENATE(F2010,E2010)</f>
        <v>NON FTLNON FTL</v>
      </c>
    </row>
    <row r="2011">
      <c t="s" s="7" r="A2011">
        <v>201</v>
      </c>
      <c s="7" r="B2011">
        <v>2038</v>
      </c>
      <c s="30" r="C2011">
        <v>2</v>
      </c>
      <c t="s" s="30" r="D2011">
        <v>112</v>
      </c>
      <c t="s" s="30" r="E2011">
        <v>4</v>
      </c>
      <c t="s" s="30" r="F2011">
        <v>4</v>
      </c>
      <c t="s" s="30" r="G2011">
        <v>271</v>
      </c>
      <c t="str" s="12" r="H2011">
        <f>HYPERLINK("http://sofifa.com/en/fifa13winter/player/148558-carlos-zambrano","C. Zambrano")</f>
        <v>C. Zambrano</v>
      </c>
      <c s="30" r="I2011">
        <v>75</v>
      </c>
      <c t="s" s="30" r="J2011">
        <v>113</v>
      </c>
      <c t="s" s="30" r="K2011">
        <v>132</v>
      </c>
      <c t="s" s="30" r="L2011">
        <v>161</v>
      </c>
      <c s="30" r="M2011">
        <v>23</v>
      </c>
      <c s="26" r="N2011">
        <v>4.3</v>
      </c>
      <c s="23" r="O2011">
        <v>0.012</v>
      </c>
      <c s="7" r="P2011"/>
      <c s="7" r="Q2011"/>
      <c s="7" r="R2011">
        <f>IF((P2011&gt;0),O2011,0)</f>
        <v>0</v>
      </c>
      <c t="str" r="S2011">
        <f>CONCATENATE(F2011,E2011)</f>
        <v>NON FTLNON FTL</v>
      </c>
    </row>
    <row r="2012">
      <c t="s" s="7" r="A2012">
        <v>201</v>
      </c>
      <c s="7" r="B2012">
        <v>2039</v>
      </c>
      <c s="30" r="C2012">
        <v>23</v>
      </c>
      <c t="s" s="30" r="D2012">
        <v>116</v>
      </c>
      <c t="s" s="30" r="E2012">
        <v>4</v>
      </c>
      <c t="s" s="30" r="F2012">
        <v>4</v>
      </c>
      <c t="s" s="30" r="G2012">
        <v>271</v>
      </c>
      <c t="str" s="12" r="H2012">
        <f>HYPERLINK("http://sofifa.com/en/fifa13winter/player/148011-anderson-soares-de-oliveira","Bamba Anderson")</f>
        <v>Bamba Anderson</v>
      </c>
      <c s="30" r="I2012">
        <v>73</v>
      </c>
      <c t="s" s="30" r="J2012">
        <v>113</v>
      </c>
      <c t="s" s="30" r="K2012">
        <v>134</v>
      </c>
      <c t="s" s="30" r="L2012">
        <v>153</v>
      </c>
      <c s="30" r="M2012">
        <v>24</v>
      </c>
      <c s="26" r="N2012">
        <v>3</v>
      </c>
      <c s="23" r="O2012">
        <v>0.01</v>
      </c>
      <c s="7" r="P2012"/>
      <c s="7" r="Q2012"/>
      <c s="7" r="R2012">
        <f>IF((P2012&gt;0),O2012,0)</f>
        <v>0</v>
      </c>
      <c t="str" r="S2012">
        <f>CONCATENATE(F2012,E2012)</f>
        <v>NON FTLNON FTL</v>
      </c>
    </row>
    <row r="2013">
      <c t="s" s="7" r="A2013">
        <v>201</v>
      </c>
      <c s="7" r="B2013">
        <v>2040</v>
      </c>
      <c s="30" r="C2013">
        <v>6</v>
      </c>
      <c t="s" s="30" r="D2013">
        <v>117</v>
      </c>
      <c t="s" s="30" r="E2013">
        <v>4</v>
      </c>
      <c t="s" s="30" r="F2013">
        <v>4</v>
      </c>
      <c t="s" s="30" r="G2013">
        <v>271</v>
      </c>
      <c t="str" s="12" r="H2013">
        <f>HYPERLINK("http://sofifa.com/en/fifa13winter/player/148379-bastian-oczipka","B. Oczipka")</f>
        <v>B. Oczipka</v>
      </c>
      <c s="30" r="I2013">
        <v>74</v>
      </c>
      <c t="s" s="30" r="J2013">
        <v>117</v>
      </c>
      <c t="s" s="30" r="K2013">
        <v>167</v>
      </c>
      <c t="s" s="30" r="L2013">
        <v>192</v>
      </c>
      <c s="30" r="M2013">
        <v>23</v>
      </c>
      <c s="26" r="N2013">
        <v>3.3</v>
      </c>
      <c s="23" r="O2013">
        <v>0.01</v>
      </c>
      <c s="7" r="P2013"/>
      <c s="7" r="Q2013"/>
      <c s="7" r="R2013">
        <f>IF((P2013&gt;0),O2013,0)</f>
        <v>0</v>
      </c>
      <c t="str" r="S2013">
        <f>CONCATENATE(F2013,E2013)</f>
        <v>NON FTLNON FTL</v>
      </c>
    </row>
    <row r="2014">
      <c t="s" s="7" r="A2014">
        <v>201</v>
      </c>
      <c s="7" r="B2014">
        <v>2041</v>
      </c>
      <c s="30" r="C2014">
        <v>27</v>
      </c>
      <c t="s" s="30" r="D2014">
        <v>186</v>
      </c>
      <c t="s" s="30" r="E2014">
        <v>4</v>
      </c>
      <c t="s" s="30" r="F2014">
        <v>4</v>
      </c>
      <c t="s" s="30" r="G2014">
        <v>271</v>
      </c>
      <c t="str" s="12" r="H2014">
        <f>HYPERLINK("http://sofifa.com/en/fifa13winter/player/147704-pirmin-schwegler","P. Schwegler")</f>
        <v>P. Schwegler</v>
      </c>
      <c s="30" r="I2014">
        <v>76</v>
      </c>
      <c t="s" s="30" r="J2014">
        <v>154</v>
      </c>
      <c t="s" s="30" r="K2014">
        <v>118</v>
      </c>
      <c t="s" s="30" r="L2014">
        <v>111</v>
      </c>
      <c s="30" r="M2014">
        <v>25</v>
      </c>
      <c s="26" r="N2014">
        <v>4.6</v>
      </c>
      <c s="23" r="O2014">
        <v>0.015</v>
      </c>
      <c s="7" r="P2014"/>
      <c s="7" r="Q2014"/>
      <c s="7" r="R2014">
        <f>IF((P2014&gt;0),O2014,0)</f>
        <v>0</v>
      </c>
      <c t="str" r="S2014">
        <f>CONCATENATE(F2014,E2014)</f>
        <v>NON FTLNON FTL</v>
      </c>
    </row>
    <row r="2015">
      <c t="s" s="7" r="A2015">
        <v>201</v>
      </c>
      <c s="7" r="B2015">
        <v>2042</v>
      </c>
      <c s="30" r="C2015">
        <v>20</v>
      </c>
      <c t="s" s="30" r="D2015">
        <v>174</v>
      </c>
      <c t="s" s="30" r="E2015">
        <v>4</v>
      </c>
      <c t="s" s="30" r="F2015">
        <v>4</v>
      </c>
      <c t="s" s="30" r="G2015">
        <v>271</v>
      </c>
      <c t="str" s="12" r="H2015">
        <f>HYPERLINK("http://sofifa.com/en/fifa13winter/player/149016-sebastian-rode","S. Rode")</f>
        <v>S. Rode</v>
      </c>
      <c s="30" r="I2015">
        <v>76</v>
      </c>
      <c t="s" s="30" r="J2015">
        <v>154</v>
      </c>
      <c t="s" s="30" r="K2015">
        <v>145</v>
      </c>
      <c t="s" s="30" r="L2015">
        <v>163</v>
      </c>
      <c s="30" r="M2015">
        <v>21</v>
      </c>
      <c s="26" r="N2015">
        <v>5.4</v>
      </c>
      <c s="23" r="O2015">
        <v>0.013</v>
      </c>
      <c s="7" r="P2015"/>
      <c s="7" r="Q2015"/>
      <c s="7" r="R2015">
        <f>IF((P2015&gt;0),O2015,0)</f>
        <v>0</v>
      </c>
      <c t="str" r="S2015">
        <f>CONCATENATE(F2015,E2015)</f>
        <v>NON FTLNON FTL</v>
      </c>
    </row>
    <row r="2016">
      <c t="s" s="7" r="A2016">
        <v>201</v>
      </c>
      <c s="7" r="B2016">
        <v>2043</v>
      </c>
      <c s="30" r="C2016">
        <v>16</v>
      </c>
      <c t="s" s="30" r="D2016">
        <v>120</v>
      </c>
      <c t="s" s="30" r="E2016">
        <v>4</v>
      </c>
      <c t="s" s="30" r="F2016">
        <v>4</v>
      </c>
      <c t="s" s="30" r="G2016">
        <v>271</v>
      </c>
      <c t="str" s="12" r="H2016">
        <f>HYPERLINK("http://sofifa.com/en/fifa13winter/player/147868-stefan-aigner","S. Aigner")</f>
        <v>S. Aigner</v>
      </c>
      <c s="30" r="I2016">
        <v>75</v>
      </c>
      <c t="s" s="30" r="J2016">
        <v>120</v>
      </c>
      <c t="s" s="30" r="K2016">
        <v>132</v>
      </c>
      <c t="s" s="30" r="L2016">
        <v>146</v>
      </c>
      <c s="30" r="M2016">
        <v>25</v>
      </c>
      <c s="26" r="N2016">
        <v>4.3</v>
      </c>
      <c s="23" r="O2016">
        <v>0.013</v>
      </c>
      <c s="7" r="P2016"/>
      <c s="7" r="Q2016"/>
      <c s="7" r="R2016">
        <f>IF((P2016&gt;0),O2016,0)</f>
        <v>0</v>
      </c>
      <c t="str" r="S2016">
        <f>CONCATENATE(F2016,E2016)</f>
        <v>NON FTLNON FTL</v>
      </c>
    </row>
    <row r="2017">
      <c t="s" s="7" r="A2017">
        <v>201</v>
      </c>
      <c s="7" r="B2017">
        <v>2044</v>
      </c>
      <c s="30" r="C2017">
        <v>8</v>
      </c>
      <c t="s" s="30" r="D2017">
        <v>128</v>
      </c>
      <c t="s" s="30" r="E2017">
        <v>4</v>
      </c>
      <c t="s" s="30" r="F2017">
        <v>4</v>
      </c>
      <c t="s" s="30" r="G2017">
        <v>271</v>
      </c>
      <c t="str" s="12" r="H2017">
        <f>HYPERLINK("http://sofifa.com/en/fifa13winter/player/148155-takashi-inui","T. Inui")</f>
        <v>T. Inui</v>
      </c>
      <c s="30" r="I2017">
        <v>75</v>
      </c>
      <c t="s" s="30" r="J2017">
        <v>128</v>
      </c>
      <c t="s" s="30" r="K2017">
        <v>195</v>
      </c>
      <c t="s" s="30" r="L2017">
        <v>210</v>
      </c>
      <c s="30" r="M2017">
        <v>24</v>
      </c>
      <c s="26" r="N2017">
        <v>4.6</v>
      </c>
      <c s="23" r="O2017">
        <v>0.013</v>
      </c>
      <c s="7" r="P2017"/>
      <c s="7" r="Q2017"/>
      <c s="7" r="R2017">
        <f>IF((P2017&gt;0),O2017,0)</f>
        <v>0</v>
      </c>
      <c t="str" r="S2017">
        <f>CONCATENATE(F2017,E2017)</f>
        <v>NON FTLNON FTL</v>
      </c>
    </row>
    <row r="2018">
      <c t="s" s="7" r="A2018">
        <v>201</v>
      </c>
      <c s="7" r="B2018">
        <v>2045</v>
      </c>
      <c s="30" r="C2018">
        <v>14</v>
      </c>
      <c t="s" s="30" r="D2018">
        <v>162</v>
      </c>
      <c t="s" s="30" r="E2018">
        <v>4</v>
      </c>
      <c t="s" s="30" r="F2018">
        <v>4</v>
      </c>
      <c t="s" s="30" r="G2018">
        <v>271</v>
      </c>
      <c t="str" s="12" r="H2018">
        <f>HYPERLINK("http://sofifa.com/en/fifa13winter/player/146192-alexander-meier","A. Meier")</f>
        <v>A. Meier</v>
      </c>
      <c s="30" r="I2018">
        <v>76</v>
      </c>
      <c t="s" s="30" r="J2018">
        <v>162</v>
      </c>
      <c t="s" s="30" r="K2018">
        <v>198</v>
      </c>
      <c t="s" s="30" r="L2018">
        <v>156</v>
      </c>
      <c s="30" r="M2018">
        <v>29</v>
      </c>
      <c s="26" r="N2018">
        <v>5</v>
      </c>
      <c s="23" r="O2018">
        <v>0.016</v>
      </c>
      <c s="7" r="P2018"/>
      <c s="7" r="Q2018"/>
      <c s="7" r="R2018">
        <f>IF((P2018&gt;0),O2018,0)</f>
        <v>0</v>
      </c>
      <c t="str" r="S2018">
        <f>CONCATENATE(F2018,E2018)</f>
        <v>NON FTLNON FTL</v>
      </c>
    </row>
    <row r="2019">
      <c t="s" s="7" r="A2019">
        <v>201</v>
      </c>
      <c s="7" r="B2019">
        <v>2046</v>
      </c>
      <c s="30" r="C2019">
        <v>11</v>
      </c>
      <c t="s" s="30" r="D2019">
        <v>129</v>
      </c>
      <c t="s" s="30" r="E2019">
        <v>4</v>
      </c>
      <c t="s" s="30" r="F2019">
        <v>4</v>
      </c>
      <c t="s" s="30" r="G2019">
        <v>271</v>
      </c>
      <c t="str" s="12" r="H2019">
        <f>HYPERLINK("http://sofifa.com/en/fifa13winter/player/146450-srdjan-lakic","S. Lakić")</f>
        <v>S. Lakić</v>
      </c>
      <c s="30" r="I2019">
        <v>74</v>
      </c>
      <c t="s" s="30" r="J2019">
        <v>129</v>
      </c>
      <c t="s" s="30" r="K2019">
        <v>173</v>
      </c>
      <c t="s" s="30" r="L2019">
        <v>179</v>
      </c>
      <c s="30" r="M2019">
        <v>28</v>
      </c>
      <c s="26" r="N2019">
        <v>3.8</v>
      </c>
      <c s="23" r="O2019">
        <v>0.011</v>
      </c>
      <c s="7" r="P2019"/>
      <c s="7" r="Q2019"/>
      <c s="7" r="R2019">
        <f>IF((P2019&gt;0),O2019,0)</f>
        <v>0</v>
      </c>
      <c t="str" r="S2019">
        <f>CONCATENATE(F2019,E2019)</f>
        <v>NON FTLNON FTL</v>
      </c>
    </row>
    <row r="2020">
      <c t="s" s="7" r="A2020">
        <v>201</v>
      </c>
      <c s="7" r="B2020">
        <v>2047</v>
      </c>
      <c s="30" r="C2020">
        <v>28</v>
      </c>
      <c t="s" s="30" r="D2020">
        <v>136</v>
      </c>
      <c t="s" s="30" r="E2020">
        <v>4</v>
      </c>
      <c t="s" s="30" r="F2020">
        <v>4</v>
      </c>
      <c t="s" s="30" r="G2020">
        <v>271</v>
      </c>
      <c t="str" s="12" r="H2020">
        <f>HYPERLINK("http://sofifa.com/en/fifa13winter/player/149834-sonny-kittel","S. Kittel")</f>
        <v>S. Kittel</v>
      </c>
      <c s="30" r="I2020">
        <v>69</v>
      </c>
      <c t="s" s="30" r="J2020">
        <v>162</v>
      </c>
      <c t="s" s="30" r="K2020">
        <v>118</v>
      </c>
      <c t="s" s="30" r="L2020">
        <v>149</v>
      </c>
      <c s="30" r="M2020">
        <v>19</v>
      </c>
      <c s="26" r="N2020">
        <v>2.3</v>
      </c>
      <c s="23" r="O2020">
        <v>0.005</v>
      </c>
      <c s="7" r="P2020"/>
      <c s="7" r="Q2020"/>
      <c s="7" r="R2020">
        <f>IF((P2020&gt;0),O2020,0)</f>
        <v>0</v>
      </c>
      <c t="str" r="S2020">
        <f>CONCATENATE(F2020,E2020)</f>
        <v>NON FTLNON FTL</v>
      </c>
    </row>
    <row r="2021">
      <c t="s" s="7" r="A2021">
        <v>201</v>
      </c>
      <c s="7" r="B2021">
        <v>2048</v>
      </c>
      <c s="30" r="C2021">
        <v>32</v>
      </c>
      <c t="s" s="30" r="D2021">
        <v>136</v>
      </c>
      <c t="s" s="30" r="E2021">
        <v>4</v>
      </c>
      <c t="s" s="30" r="F2021">
        <v>4</v>
      </c>
      <c t="s" s="30" r="G2021">
        <v>271</v>
      </c>
      <c t="str" s="12" r="H2021">
        <f>HYPERLINK("http://sofifa.com/en/fifa13winter/player/149829-aykut-ozer","A. Özer")</f>
        <v>A. Özer</v>
      </c>
      <c s="30" r="I2021">
        <v>58</v>
      </c>
      <c t="s" s="30" r="J2021">
        <v>106</v>
      </c>
      <c t="s" s="30" r="K2021">
        <v>169</v>
      </c>
      <c t="s" s="30" r="L2021">
        <v>153</v>
      </c>
      <c s="30" r="M2021">
        <v>19</v>
      </c>
      <c s="26" r="N2021">
        <v>0.3</v>
      </c>
      <c s="23" r="O2021">
        <v>0.002</v>
      </c>
      <c s="7" r="P2021"/>
      <c s="7" r="Q2021"/>
      <c s="7" r="R2021">
        <f>IF((P2021&gt;0),O2021,0)</f>
        <v>0</v>
      </c>
      <c t="str" r="S2021">
        <f>CONCATENATE(F2021,E2021)</f>
        <v>NON FTLNON FTL</v>
      </c>
    </row>
    <row r="2022">
      <c t="s" s="7" r="A2022">
        <v>201</v>
      </c>
      <c s="7" r="B2022">
        <v>2049</v>
      </c>
      <c s="30" r="C2022">
        <v>37</v>
      </c>
      <c t="s" s="30" r="D2022">
        <v>136</v>
      </c>
      <c t="s" s="30" r="E2022">
        <v>4</v>
      </c>
      <c t="s" s="30" r="F2022">
        <v>4</v>
      </c>
      <c t="s" s="30" r="G2022">
        <v>271</v>
      </c>
      <c t="str" s="12" r="H2022">
        <f>HYPERLINK("http://sofifa.com/en/fifa13winter/player/150902-marc-stendera","M. Stendera")</f>
        <v>M. Stendera</v>
      </c>
      <c s="30" r="I2022">
        <v>61</v>
      </c>
      <c t="s" s="30" r="J2022">
        <v>162</v>
      </c>
      <c t="s" s="30" r="K2022">
        <v>195</v>
      </c>
      <c t="s" s="30" r="L2022">
        <v>141</v>
      </c>
      <c s="30" r="M2022">
        <v>16</v>
      </c>
      <c s="26" r="N2022">
        <v>0.8</v>
      </c>
      <c s="23" r="O2022">
        <v>0.002</v>
      </c>
      <c s="7" r="P2022"/>
      <c s="7" r="Q2022"/>
      <c s="7" r="R2022">
        <f>IF((P2022&gt;0),O2022,0)</f>
        <v>0</v>
      </c>
      <c t="str" r="S2022">
        <f>CONCATENATE(F2022,E2022)</f>
        <v>NON FTLNON FTL</v>
      </c>
    </row>
    <row r="2023">
      <c t="s" s="7" r="A2023">
        <v>201</v>
      </c>
      <c s="7" r="B2023">
        <v>2050</v>
      </c>
      <c s="30" r="C2023">
        <v>5</v>
      </c>
      <c t="s" s="30" r="D2023">
        <v>136</v>
      </c>
      <c t="s" s="30" r="E2023">
        <v>4</v>
      </c>
      <c t="s" s="30" r="F2023">
        <v>4</v>
      </c>
      <c t="s" s="30" r="G2023">
        <v>271</v>
      </c>
      <c t="str" s="12" r="H2023">
        <f>HYPERLINK("http://sofifa.com/en/fifa13winter/player/146059-martin-amedick","M. Amedick")</f>
        <v>M. Amedick</v>
      </c>
      <c s="30" r="I2023">
        <v>70</v>
      </c>
      <c t="s" s="30" r="J2023">
        <v>113</v>
      </c>
      <c t="s" s="30" r="K2023">
        <v>188</v>
      </c>
      <c t="s" s="30" r="L2023">
        <v>179</v>
      </c>
      <c s="30" r="M2023">
        <v>29</v>
      </c>
      <c s="26" r="N2023">
        <v>1.6</v>
      </c>
      <c s="23" r="O2023">
        <v>0.007</v>
      </c>
      <c s="7" r="P2023"/>
      <c s="7" r="Q2023"/>
      <c s="7" r="R2023">
        <f>IF((P2023&gt;0),O2023,0)</f>
        <v>0</v>
      </c>
      <c t="str" r="S2023">
        <f>CONCATENATE(F2023,E2023)</f>
        <v>NON FTLNON FTL</v>
      </c>
    </row>
    <row r="2024">
      <c t="s" s="7" r="A2024">
        <v>201</v>
      </c>
      <c s="7" r="B2024">
        <v>2051</v>
      </c>
      <c s="30" r="C2024">
        <v>1</v>
      </c>
      <c t="s" s="30" r="D2024">
        <v>136</v>
      </c>
      <c t="s" s="30" r="E2024">
        <v>4</v>
      </c>
      <c t="s" s="30" r="F2024">
        <v>4</v>
      </c>
      <c t="s" s="30" r="G2024">
        <v>271</v>
      </c>
      <c t="str" s="12" r="H2024">
        <f>HYPERLINK("http://sofifa.com/en/fifa13winter/player/143033-oka-nikolov","O. Nikolov")</f>
        <v>O. Nikolov</v>
      </c>
      <c s="30" r="I2024">
        <v>70</v>
      </c>
      <c t="s" s="30" r="J2024">
        <v>106</v>
      </c>
      <c t="s" s="30" r="K2024">
        <v>155</v>
      </c>
      <c t="s" s="30" r="L2024">
        <v>180</v>
      </c>
      <c s="30" r="M2024">
        <v>38</v>
      </c>
      <c s="26" r="N2024">
        <v>0.7</v>
      </c>
      <c s="23" r="O2024">
        <v>0.009</v>
      </c>
      <c s="7" r="P2024"/>
      <c s="7" r="Q2024"/>
      <c s="7" r="R2024">
        <f>IF((P2024&gt;0),O2024,0)</f>
        <v>0</v>
      </c>
      <c t="str" r="S2024">
        <f>CONCATENATE(F2024,E2024)</f>
        <v>NON FTLNON FTL</v>
      </c>
    </row>
    <row r="2025">
      <c t="s" s="7" r="A2025">
        <v>201</v>
      </c>
      <c s="7" r="B2025">
        <v>2052</v>
      </c>
      <c s="30" r="C2025">
        <v>13</v>
      </c>
      <c t="s" s="30" r="D2025">
        <v>136</v>
      </c>
      <c t="s" s="30" r="E2025">
        <v>4</v>
      </c>
      <c t="s" s="30" r="F2025">
        <v>4</v>
      </c>
      <c t="s" s="30" r="G2025">
        <v>271</v>
      </c>
      <c t="str" s="12" r="H2025">
        <f>HYPERLINK("http://sofifa.com/en/fifa13winter/player/146733-martin-lanig","M. Lanig")</f>
        <v>M. Lanig</v>
      </c>
      <c s="30" r="I2025">
        <v>73</v>
      </c>
      <c t="s" s="30" r="J2025">
        <v>154</v>
      </c>
      <c t="s" s="30" r="K2025">
        <v>152</v>
      </c>
      <c t="s" s="30" r="L2025">
        <v>158</v>
      </c>
      <c s="30" r="M2025">
        <v>28</v>
      </c>
      <c s="26" r="N2025">
        <v>2.7</v>
      </c>
      <c s="23" r="O2025">
        <v>0.01</v>
      </c>
      <c s="7" r="P2025"/>
      <c s="7" r="Q2025"/>
      <c s="7" r="R2025">
        <f>IF((P2025&gt;0),O2025,0)</f>
        <v>0</v>
      </c>
      <c t="str" r="S2025">
        <f>CONCATENATE(F2025,E2025)</f>
        <v>NON FTLNON FTL</v>
      </c>
    </row>
    <row r="2026">
      <c t="s" s="7" r="A2026">
        <v>201</v>
      </c>
      <c s="7" r="B2026">
        <v>2053</v>
      </c>
      <c s="30" r="C2026">
        <v>3</v>
      </c>
      <c t="s" s="30" r="D2026">
        <v>136</v>
      </c>
      <c t="s" s="30" r="E2026">
        <v>4</v>
      </c>
      <c t="s" s="30" r="F2026">
        <v>4</v>
      </c>
      <c t="s" s="30" r="G2026">
        <v>271</v>
      </c>
      <c t="str" s="12" r="H2026">
        <f>HYPERLINK("http://sofifa.com/en/fifa13winter/player/145289-heiko-butscher","H. Butscher")</f>
        <v>H. Butscher</v>
      </c>
      <c s="30" r="I2026">
        <v>69</v>
      </c>
      <c t="s" s="30" r="J2026">
        <v>113</v>
      </c>
      <c t="s" s="30" r="K2026">
        <v>169</v>
      </c>
      <c t="s" s="30" r="L2026">
        <v>180</v>
      </c>
      <c s="30" r="M2026">
        <v>32</v>
      </c>
      <c s="26" r="N2026">
        <v>1.3</v>
      </c>
      <c s="23" r="O2026">
        <v>0.008</v>
      </c>
      <c s="7" r="P2026"/>
      <c s="7" r="Q2026"/>
      <c s="7" r="R2026">
        <f>IF((P2026&gt;0),O2026,0)</f>
        <v>0</v>
      </c>
      <c t="str" r="S2026">
        <f>CONCATENATE(F2026,E2026)</f>
        <v>NON FTLNON FTL</v>
      </c>
    </row>
    <row r="2027">
      <c t="s" s="7" r="A2027">
        <v>201</v>
      </c>
      <c s="7" r="B2027">
        <v>2054</v>
      </c>
      <c s="30" r="C2027">
        <v>4</v>
      </c>
      <c t="s" s="30" r="D2027">
        <v>136</v>
      </c>
      <c t="s" s="30" r="E2027">
        <v>4</v>
      </c>
      <c t="s" s="30" r="F2027">
        <v>4</v>
      </c>
      <c t="s" s="30" r="G2027">
        <v>271</v>
      </c>
      <c t="str" s="12" r="H2027">
        <f>HYPERLINK("http://sofifa.com/en/fifa13winter/player/147122-marco-russ","M. Russ")</f>
        <v>M. Russ</v>
      </c>
      <c s="30" r="I2027">
        <v>72</v>
      </c>
      <c t="s" s="30" r="J2027">
        <v>113</v>
      </c>
      <c t="s" s="30" r="K2027">
        <v>152</v>
      </c>
      <c t="s" s="30" r="L2027">
        <v>151</v>
      </c>
      <c s="30" r="M2027">
        <v>27</v>
      </c>
      <c s="26" r="N2027">
        <v>2.5</v>
      </c>
      <c s="23" r="O2027">
        <v>0.009</v>
      </c>
      <c s="7" r="P2027"/>
      <c s="7" r="Q2027"/>
      <c s="7" r="R2027">
        <f>IF((P2027&gt;0),O2027,0)</f>
        <v>0</v>
      </c>
      <c t="str" r="S2027">
        <f>CONCATENATE(F2027,E2027)</f>
        <v>NON FTLNON FTL</v>
      </c>
    </row>
    <row r="2028">
      <c t="s" s="7" r="A2028">
        <v>201</v>
      </c>
      <c s="7" r="B2028">
        <v>2055</v>
      </c>
      <c s="30" r="C2028">
        <v>15</v>
      </c>
      <c t="s" s="30" r="D2028">
        <v>136</v>
      </c>
      <c t="s" s="30" r="E2028">
        <v>4</v>
      </c>
      <c t="s" s="30" r="F2028">
        <v>4</v>
      </c>
      <c t="s" s="30" r="G2028">
        <v>271</v>
      </c>
      <c t="str" s="12" r="H2028">
        <f>HYPERLINK("http://sofifa.com/en/fifa13winter/player/147561-constant-djakpa","C. Djakpa")</f>
        <v>C. Djakpa</v>
      </c>
      <c s="30" r="I2028">
        <v>69</v>
      </c>
      <c t="s" s="30" r="J2028">
        <v>117</v>
      </c>
      <c t="s" s="30" r="K2028">
        <v>159</v>
      </c>
      <c t="s" s="30" r="L2028">
        <v>142</v>
      </c>
      <c s="30" r="M2028">
        <v>25</v>
      </c>
      <c s="26" r="N2028">
        <v>1.6</v>
      </c>
      <c s="23" r="O2028">
        <v>0.007</v>
      </c>
      <c s="7" r="P2028"/>
      <c s="7" r="Q2028"/>
      <c s="7" r="R2028">
        <f>IF((P2028&gt;0),O2028,0)</f>
        <v>0</v>
      </c>
      <c t="str" r="S2028">
        <f>CONCATENATE(F2028,E2028)</f>
        <v>NON FTLNON FTL</v>
      </c>
    </row>
    <row r="2029">
      <c t="s" s="7" r="A2029">
        <v>201</v>
      </c>
      <c s="7" r="B2029">
        <v>2056</v>
      </c>
      <c s="30" r="C2029">
        <v>21</v>
      </c>
      <c t="s" s="30" r="D2029">
        <v>136</v>
      </c>
      <c t="s" s="30" r="E2029">
        <v>4</v>
      </c>
      <c t="s" s="30" r="F2029">
        <v>4</v>
      </c>
      <c t="s" s="30" r="G2029">
        <v>271</v>
      </c>
      <c t="str" s="12" r="H2029">
        <f>HYPERLINK("http://sofifa.com/en/fifa13winter/player/147082-karim-matmour","K. Matmour")</f>
        <v>K. Matmour</v>
      </c>
      <c s="30" r="I2029">
        <v>70</v>
      </c>
      <c t="s" s="30" r="J2029">
        <v>129</v>
      </c>
      <c t="s" s="30" r="K2029">
        <v>150</v>
      </c>
      <c t="s" s="30" r="L2029">
        <v>151</v>
      </c>
      <c s="30" r="M2029">
        <v>27</v>
      </c>
      <c s="26" r="N2029">
        <v>2.1</v>
      </c>
      <c s="23" r="O2029">
        <v>0.007</v>
      </c>
      <c s="7" r="P2029"/>
      <c s="7" r="Q2029"/>
      <c s="7" r="R2029">
        <f>IF((P2029&gt;0),O2029,0)</f>
        <v>0</v>
      </c>
      <c t="str" r="S2029">
        <f>CONCATENATE(F2029,E2029)</f>
        <v>NON FTLNON FTL</v>
      </c>
    </row>
    <row r="2030">
      <c t="s" s="7" r="A2030">
        <v>201</v>
      </c>
      <c s="7" r="B2030">
        <v>2057</v>
      </c>
      <c s="30" r="C2030">
        <v>22</v>
      </c>
      <c t="s" s="30" r="D2030">
        <v>136</v>
      </c>
      <c t="s" s="30" r="E2030">
        <v>4</v>
      </c>
      <c t="s" s="30" r="F2030">
        <v>4</v>
      </c>
      <c t="s" s="30" r="G2030">
        <v>271</v>
      </c>
      <c t="str" s="12" r="H2030">
        <f>HYPERLINK("http://sofifa.com/en/fifa13winter/player/148308-stefano-celozzi","S. Celozzi")</f>
        <v>S. Celozzi</v>
      </c>
      <c s="30" r="I2030">
        <v>71</v>
      </c>
      <c t="s" s="30" r="J2030">
        <v>120</v>
      </c>
      <c t="s" s="30" r="K2030">
        <v>195</v>
      </c>
      <c t="s" s="30" r="L2030">
        <v>149</v>
      </c>
      <c s="30" r="M2030">
        <v>23</v>
      </c>
      <c s="26" r="N2030">
        <v>2.4</v>
      </c>
      <c s="23" r="O2030">
        <v>0.007</v>
      </c>
      <c s="7" r="P2030"/>
      <c s="7" r="Q2030"/>
      <c s="7" r="R2030">
        <f>IF((P2030&gt;0),O2030,0)</f>
        <v>0</v>
      </c>
      <c t="str" r="S2030">
        <f>CONCATENATE(F2030,E2030)</f>
        <v>NON FTLNON FTL</v>
      </c>
    </row>
    <row r="2031">
      <c t="s" s="7" r="A2031">
        <v>201</v>
      </c>
      <c s="7" r="B2031">
        <v>2058</v>
      </c>
      <c s="30" r="C2031">
        <v>36</v>
      </c>
      <c t="s" s="30" r="D2031">
        <v>136</v>
      </c>
      <c t="s" s="30" r="E2031">
        <v>4</v>
      </c>
      <c t="s" s="30" r="F2031">
        <v>4</v>
      </c>
      <c t="s" s="30" r="G2031">
        <v>271</v>
      </c>
      <c t="str" s="12" r="H2031">
        <f>HYPERLINK("http://sofifa.com/en/fifa13winter/player/150586-marc-oliver-kempf","M. Kempf")</f>
        <v>M. Kempf</v>
      </c>
      <c s="30" r="I2031">
        <v>59</v>
      </c>
      <c t="s" s="30" r="J2031">
        <v>113</v>
      </c>
      <c t="s" s="30" r="K2031">
        <v>132</v>
      </c>
      <c t="s" s="30" r="L2031">
        <v>193</v>
      </c>
      <c s="30" r="M2031">
        <v>17</v>
      </c>
      <c s="26" r="N2031">
        <v>0.5</v>
      </c>
      <c s="23" r="O2031">
        <v>0.002</v>
      </c>
      <c s="7" r="P2031"/>
      <c s="7" r="Q2031"/>
      <c s="7" r="R2031">
        <f>IF((P2031&gt;0),O2031,0)</f>
        <v>0</v>
      </c>
      <c t="str" r="S2031">
        <f>CONCATENATE(F2031,E2031)</f>
        <v>NON FTLNON FTL</v>
      </c>
    </row>
    <row r="2032">
      <c t="s" s="7" r="A2032">
        <v>201</v>
      </c>
      <c s="7" r="B2032">
        <v>2059</v>
      </c>
      <c s="30" r="C2032">
        <v>9</v>
      </c>
      <c t="s" s="30" r="D2032">
        <v>147</v>
      </c>
      <c t="s" s="30" r="E2032">
        <v>4</v>
      </c>
      <c t="s" s="30" r="F2032">
        <v>4</v>
      </c>
      <c t="s" s="30" r="G2032">
        <v>271</v>
      </c>
      <c t="str" s="12" r="H2032">
        <f>HYPERLINK("http://sofifa.com/en/fifa13winter/player/145741-olivier-occean","O. Occéan")</f>
        <v>O. Occéan</v>
      </c>
      <c s="30" r="I2032">
        <v>70</v>
      </c>
      <c t="s" s="30" r="J2032">
        <v>129</v>
      </c>
      <c t="s" s="30" r="K2032">
        <v>132</v>
      </c>
      <c t="s" s="30" r="L2032">
        <v>180</v>
      </c>
      <c s="30" r="M2032">
        <v>30</v>
      </c>
      <c s="26" r="N2032">
        <v>2</v>
      </c>
      <c s="23" r="O2032">
        <v>0.008</v>
      </c>
      <c s="7" r="P2032"/>
      <c s="7" r="Q2032"/>
      <c s="7" r="R2032">
        <f>IF((P2032&gt;0),O2032,0)</f>
        <v>0</v>
      </c>
      <c t="str" r="S2032">
        <f>CONCATENATE(F2032,E2032)</f>
        <v>NON FTLNON FTL</v>
      </c>
    </row>
    <row r="2033">
      <c t="s" s="7" r="A2033">
        <v>201</v>
      </c>
      <c s="7" r="B2033">
        <v>2060</v>
      </c>
      <c s="30" r="C2033">
        <v>39</v>
      </c>
      <c t="s" s="30" r="D2033">
        <v>147</v>
      </c>
      <c t="s" s="30" r="E2033">
        <v>4</v>
      </c>
      <c t="s" s="30" r="F2033">
        <v>4</v>
      </c>
      <c t="s" s="30" r="G2033">
        <v>271</v>
      </c>
      <c t="str" s="12" r="H2033">
        <f>HYPERLINK("http://sofifa.com/en/fifa13winter/player/149926-julian-dudda","J. Dudda")</f>
        <v>J. Dudda</v>
      </c>
      <c s="30" r="I2033">
        <v>58</v>
      </c>
      <c t="s" s="30" r="J2033">
        <v>113</v>
      </c>
      <c t="s" s="30" r="K2033">
        <v>107</v>
      </c>
      <c t="s" s="30" r="L2033">
        <v>175</v>
      </c>
      <c s="30" r="M2033">
        <v>19</v>
      </c>
      <c s="26" r="N2033">
        <v>0.3</v>
      </c>
      <c s="23" r="O2033">
        <v>0.002</v>
      </c>
      <c s="7" r="P2033"/>
      <c s="7" r="Q2033"/>
      <c s="7" r="R2033">
        <f>IF((P2033&gt;0),O2033,0)</f>
        <v>0</v>
      </c>
      <c t="str" r="S2033">
        <f>CONCATENATE(F2033,E2033)</f>
        <v>NON FTLNON FTL</v>
      </c>
    </row>
    <row r="2034">
      <c t="s" s="7" r="A2034">
        <v>201</v>
      </c>
      <c s="7" r="B2034">
        <v>2061</v>
      </c>
      <c s="30" r="C2034">
        <v>34</v>
      </c>
      <c t="s" s="30" r="D2034">
        <v>147</v>
      </c>
      <c t="s" s="30" r="E2034">
        <v>4</v>
      </c>
      <c t="s" s="30" r="F2034">
        <v>4</v>
      </c>
      <c t="s" s="30" r="G2034">
        <v>271</v>
      </c>
      <c t="str" s="12" r="H2034">
        <f>HYPERLINK("http://sofifa.com/en/fifa13winter/player/149915-erik-wille","E. Wille")</f>
        <v>E. Wille</v>
      </c>
      <c s="30" r="I2034">
        <v>56</v>
      </c>
      <c t="s" s="30" r="J2034">
        <v>113</v>
      </c>
      <c t="s" s="30" r="K2034">
        <v>110</v>
      </c>
      <c t="s" s="30" r="L2034">
        <v>160</v>
      </c>
      <c s="30" r="M2034">
        <v>19</v>
      </c>
      <c s="26" r="N2034">
        <v>0.1</v>
      </c>
      <c s="23" r="O2034">
        <v>0.002</v>
      </c>
      <c s="7" r="P2034"/>
      <c s="7" r="Q2034"/>
      <c s="7" r="R2034">
        <f>IF((P2034&gt;0),O2034,0)</f>
        <v>0</v>
      </c>
      <c t="str" r="S2034">
        <f>CONCATENATE(F2034,E2034)</f>
        <v>NON FTLNON FTL</v>
      </c>
    </row>
    <row r="2035">
      <c t="s" s="7" r="A2035">
        <v>201</v>
      </c>
      <c s="7" r="B2035">
        <v>2062</v>
      </c>
      <c s="30" r="C2035">
        <v>33</v>
      </c>
      <c t="s" s="30" r="D2035">
        <v>147</v>
      </c>
      <c t="s" s="30" r="E2035">
        <v>4</v>
      </c>
      <c t="s" s="30" r="F2035">
        <v>4</v>
      </c>
      <c t="s" s="30" r="G2035">
        <v>271</v>
      </c>
      <c t="str" s="12" r="H2035">
        <f>HYPERLINK("http://sofifa.com/en/fifa13winter/player/149921-alexander-hien","A. Hien")</f>
        <v>A. Hien</v>
      </c>
      <c s="30" r="I2035">
        <v>54</v>
      </c>
      <c t="s" s="30" r="J2035">
        <v>154</v>
      </c>
      <c t="s" s="30" r="K2035">
        <v>110</v>
      </c>
      <c t="s" s="30" r="L2035">
        <v>146</v>
      </c>
      <c s="30" r="M2035">
        <v>19</v>
      </c>
      <c s="26" r="N2035">
        <v>0.1</v>
      </c>
      <c s="23" r="O2035">
        <v>0.002</v>
      </c>
      <c s="7" r="P2035"/>
      <c s="7" r="Q2035"/>
      <c s="7" r="R2035">
        <f>IF((P2035&gt;0),O2035,0)</f>
        <v>0</v>
      </c>
      <c t="str" r="S2035">
        <f>CONCATENATE(F2035,E2035)</f>
        <v>NON FTLNON FTL</v>
      </c>
    </row>
    <row r="2036">
      <c t="s" s="7" r="A2036">
        <v>201</v>
      </c>
      <c s="7" r="B2036">
        <v>2063</v>
      </c>
      <c s="30" r="C2036">
        <v>13</v>
      </c>
      <c t="s" s="30" r="D2036">
        <v>106</v>
      </c>
      <c t="s" s="30" r="E2036">
        <v>4</v>
      </c>
      <c t="s" s="30" r="F2036">
        <v>4</v>
      </c>
      <c t="s" s="30" r="G2036">
        <v>272</v>
      </c>
      <c t="str" s="12" r="H2036">
        <f>HYPERLINK("http://sofifa.com/en/fifa13winter/player/147620-keylor-navas","K. Navas")</f>
        <v>K. Navas</v>
      </c>
      <c s="30" r="I2036">
        <v>71</v>
      </c>
      <c t="s" s="30" r="J2036">
        <v>106</v>
      </c>
      <c t="s" s="30" r="K2036">
        <v>167</v>
      </c>
      <c t="s" s="30" r="L2036">
        <v>161</v>
      </c>
      <c s="30" r="M2036">
        <v>25</v>
      </c>
      <c s="26" r="N2036">
        <v>1.9</v>
      </c>
      <c s="23" r="O2036">
        <v>0.008</v>
      </c>
      <c s="7" r="P2036"/>
      <c s="7" r="Q2036"/>
      <c s="7" r="R2036">
        <f>IF((P2036&gt;0),O2036,0)</f>
        <v>0</v>
      </c>
      <c t="str" r="S2036">
        <f>CONCATENATE(F2036,E2036)</f>
        <v>NON FTLNON FTL</v>
      </c>
    </row>
    <row r="2037">
      <c t="s" s="7" r="A2037">
        <v>201</v>
      </c>
      <c s="7" r="B2037">
        <v>2064</v>
      </c>
      <c s="30" r="C2037">
        <v>22</v>
      </c>
      <c t="s" s="30" r="D2037">
        <v>109</v>
      </c>
      <c t="s" s="30" r="E2037">
        <v>4</v>
      </c>
      <c t="s" s="30" r="F2037">
        <v>4</v>
      </c>
      <c t="s" s="30" r="G2037">
        <v>272</v>
      </c>
      <c t="str" s="12" r="H2037">
        <f>HYPERLINK("http://sofifa.com/en/fifa13winter/player/146782-christian-lell","C. Lell")</f>
        <v>C. Lell</v>
      </c>
      <c s="30" r="I2037">
        <v>74</v>
      </c>
      <c t="s" s="30" r="J2037">
        <v>109</v>
      </c>
      <c t="s" s="30" r="K2037">
        <v>110</v>
      </c>
      <c t="s" s="30" r="L2037">
        <v>153</v>
      </c>
      <c s="30" r="M2037">
        <v>28</v>
      </c>
      <c s="26" r="N2037">
        <v>3</v>
      </c>
      <c s="23" r="O2037">
        <v>0.011</v>
      </c>
      <c s="7" r="P2037"/>
      <c s="7" r="Q2037"/>
      <c s="7" r="R2037">
        <f>IF((P2037&gt;0),O2037,0)</f>
        <v>0</v>
      </c>
      <c t="str" r="S2037">
        <f>CONCATENATE(F2037,E2037)</f>
        <v>NON FTLNON FTL</v>
      </c>
    </row>
    <row r="2038">
      <c t="s" s="7" r="A2038">
        <v>201</v>
      </c>
      <c s="7" r="B2038">
        <v>2065</v>
      </c>
      <c s="30" r="C2038">
        <v>6</v>
      </c>
      <c t="s" s="30" r="D2038">
        <v>112</v>
      </c>
      <c t="s" s="30" r="E2038">
        <v>4</v>
      </c>
      <c t="s" s="30" r="F2038">
        <v>4</v>
      </c>
      <c t="s" s="30" r="G2038">
        <v>272</v>
      </c>
      <c t="str" s="12" r="H2038">
        <f>HYPERLINK("http://sofifa.com/en/fifa13winter/player/145481-loukas-vyntra","L. Vyntra")</f>
        <v>L. Vyntra</v>
      </c>
      <c s="30" r="I2038">
        <v>74</v>
      </c>
      <c t="s" s="30" r="J2038">
        <v>113</v>
      </c>
      <c t="s" s="30" r="K2038">
        <v>167</v>
      </c>
      <c t="s" s="30" r="L2038">
        <v>137</v>
      </c>
      <c s="30" r="M2038">
        <v>31</v>
      </c>
      <c s="26" r="N2038">
        <v>2.7</v>
      </c>
      <c s="23" r="O2038">
        <v>0.012</v>
      </c>
      <c s="7" r="P2038"/>
      <c s="7" r="Q2038"/>
      <c s="7" r="R2038">
        <f>IF((P2038&gt;0),O2038,0)</f>
        <v>0</v>
      </c>
      <c t="str" r="S2038">
        <f>CONCATENATE(F2038,E2038)</f>
        <v>NON FTLNON FTL</v>
      </c>
    </row>
    <row r="2039">
      <c t="s" s="7" r="A2039">
        <v>201</v>
      </c>
      <c s="7" r="B2039">
        <v>2066</v>
      </c>
      <c s="30" r="C2039">
        <v>4</v>
      </c>
      <c t="s" s="30" r="D2039">
        <v>116</v>
      </c>
      <c t="s" s="30" r="E2039">
        <v>4</v>
      </c>
      <c t="s" s="30" r="F2039">
        <v>4</v>
      </c>
      <c t="s" s="30" r="G2039">
        <v>272</v>
      </c>
      <c t="str" s="12" r="H2039">
        <f>HYPERLINK("http://sofifa.com/en/fifa13winter/player/145225-david-navarro-pedros","David Navarro")</f>
        <v>David Navarro</v>
      </c>
      <c s="30" r="I2039">
        <v>75</v>
      </c>
      <c t="s" s="30" r="J2039">
        <v>113</v>
      </c>
      <c t="s" s="30" r="K2039">
        <v>134</v>
      </c>
      <c t="s" s="30" r="L2039">
        <v>193</v>
      </c>
      <c s="30" r="M2039">
        <v>32</v>
      </c>
      <c s="26" r="N2039">
        <v>3.1</v>
      </c>
      <c s="23" r="O2039">
        <v>0.015</v>
      </c>
      <c s="7" r="P2039"/>
      <c s="7" r="Q2039"/>
      <c s="7" r="R2039">
        <f>IF((P2039&gt;0),O2039,0)</f>
        <v>0</v>
      </c>
      <c t="str" r="S2039">
        <f>CONCATENATE(F2039,E2039)</f>
        <v>NON FTLNON FTL</v>
      </c>
    </row>
    <row r="2040">
      <c t="s" s="7" r="A2040">
        <v>201</v>
      </c>
      <c s="7" r="B2040">
        <v>2067</v>
      </c>
      <c s="30" r="C2040">
        <v>12</v>
      </c>
      <c t="s" s="30" r="D2040">
        <v>117</v>
      </c>
      <c t="s" s="30" r="E2040">
        <v>4</v>
      </c>
      <c t="s" s="30" r="F2040">
        <v>4</v>
      </c>
      <c t="s" s="30" r="G2040">
        <v>272</v>
      </c>
      <c t="str" s="12" r="H2040">
        <f>HYPERLINK("http://sofifa.com/en/fifa13winter/player/143815-juan-francisco-garcia-garcia","Juanfran")</f>
        <v>Juanfran</v>
      </c>
      <c s="30" r="I2040">
        <v>74</v>
      </c>
      <c t="s" s="30" r="J2040">
        <v>117</v>
      </c>
      <c t="s" s="30" r="K2040">
        <v>110</v>
      </c>
      <c t="s" s="30" r="L2040">
        <v>161</v>
      </c>
      <c s="30" r="M2040">
        <v>36</v>
      </c>
      <c s="26" r="N2040">
        <v>1.7</v>
      </c>
      <c s="23" r="O2040">
        <v>0.014</v>
      </c>
      <c s="7" r="P2040"/>
      <c s="7" r="Q2040"/>
      <c s="7" r="R2040">
        <f>IF((P2040&gt;0),O2040,0)</f>
        <v>0</v>
      </c>
      <c t="str" r="S2040">
        <f>CONCATENATE(F2040,E2040)</f>
        <v>NON FTLNON FTL</v>
      </c>
    </row>
    <row r="2041">
      <c t="s" s="7" r="A2041">
        <v>201</v>
      </c>
      <c s="7" r="B2041">
        <v>2068</v>
      </c>
      <c s="30" r="C2041">
        <v>23</v>
      </c>
      <c t="s" s="30" r="D2041">
        <v>186</v>
      </c>
      <c t="s" s="30" r="E2041">
        <v>4</v>
      </c>
      <c t="s" s="30" r="F2041">
        <v>4</v>
      </c>
      <c t="s" s="30" r="G2041">
        <v>272</v>
      </c>
      <c t="str" s="12" r="H2041">
        <f>HYPERLINK("http://sofifa.com/en/fifa13winter/player/147349-papa-kouli-diop","P. Diop")</f>
        <v>P. Diop</v>
      </c>
      <c s="30" r="I2041">
        <v>76</v>
      </c>
      <c t="s" s="30" r="J2041">
        <v>154</v>
      </c>
      <c t="s" s="30" r="K2041">
        <v>114</v>
      </c>
      <c t="s" s="30" r="L2041">
        <v>119</v>
      </c>
      <c s="30" r="M2041">
        <v>26</v>
      </c>
      <c s="26" r="N2041">
        <v>4.5</v>
      </c>
      <c s="23" r="O2041">
        <v>0.015</v>
      </c>
      <c s="7" r="P2041"/>
      <c s="7" r="Q2041"/>
      <c s="7" r="R2041">
        <f>IF((P2041&gt;0),O2041,0)</f>
        <v>0</v>
      </c>
      <c t="str" r="S2041">
        <f>CONCATENATE(F2041,E2041)</f>
        <v>NON FTLNON FTL</v>
      </c>
    </row>
    <row r="2042">
      <c t="s" s="7" r="A2042">
        <v>201</v>
      </c>
      <c s="7" r="B2042">
        <v>2069</v>
      </c>
      <c s="30" r="C2042">
        <v>10</v>
      </c>
      <c t="s" s="30" r="D2042">
        <v>174</v>
      </c>
      <c t="s" s="30" r="E2042">
        <v>4</v>
      </c>
      <c t="s" s="30" r="F2042">
        <v>4</v>
      </c>
      <c t="s" s="30" r="G2042">
        <v>272</v>
      </c>
      <c t="str" s="12" r="H2042">
        <f>HYPERLINK("http://sofifa.com/en/fifa13winter/player/148017-vicente-iborra-de-la-fuente","Iborra")</f>
        <v>Iborra</v>
      </c>
      <c s="30" r="I2042">
        <v>77</v>
      </c>
      <c t="s" s="30" r="J2042">
        <v>154</v>
      </c>
      <c t="s" s="30" r="K2042">
        <v>152</v>
      </c>
      <c t="s" s="30" r="L2042">
        <v>137</v>
      </c>
      <c s="30" r="M2042">
        <v>24</v>
      </c>
      <c s="26" r="N2042">
        <v>5.4</v>
      </c>
      <c s="23" r="O2042">
        <v>0.017</v>
      </c>
      <c s="7" r="P2042"/>
      <c s="7" r="Q2042"/>
      <c s="7" r="R2042">
        <f>IF((P2042&gt;0),O2042,0)</f>
        <v>0</v>
      </c>
      <c t="str" r="S2042">
        <f>CONCATENATE(F2042,E2042)</f>
        <v>NON FTLNON FTL</v>
      </c>
    </row>
    <row r="2043">
      <c t="s" s="7" r="A2043">
        <v>201</v>
      </c>
      <c s="7" r="B2043">
        <v>2070</v>
      </c>
      <c s="30" r="C2043">
        <v>8</v>
      </c>
      <c t="s" s="30" r="D2043">
        <v>120</v>
      </c>
      <c t="s" s="30" r="E2043">
        <v>4</v>
      </c>
      <c t="s" s="30" r="F2043">
        <v>4</v>
      </c>
      <c t="s" s="30" r="G2043">
        <v>272</v>
      </c>
      <c t="str" s="12" r="H2043">
        <f>HYPERLINK("http://sofifa.com/en/fifa13winter/player/147510-nabil-el-zhar","N. El Zhar")</f>
        <v>N. El Zhar</v>
      </c>
      <c s="30" r="I2043">
        <v>73</v>
      </c>
      <c t="s" s="30" r="J2043">
        <v>120</v>
      </c>
      <c t="s" s="30" r="K2043">
        <v>139</v>
      </c>
      <c t="s" s="30" r="L2043">
        <v>125</v>
      </c>
      <c s="30" r="M2043">
        <v>26</v>
      </c>
      <c s="26" r="N2043">
        <v>3.1</v>
      </c>
      <c s="23" r="O2043">
        <v>0.01</v>
      </c>
      <c s="7" r="P2043"/>
      <c s="7" r="Q2043"/>
      <c s="7" r="R2043">
        <f>IF((P2043&gt;0),O2043,0)</f>
        <v>0</v>
      </c>
      <c t="str" r="S2043">
        <f>CONCATENATE(F2043,E2043)</f>
        <v>NON FTLNON FTL</v>
      </c>
    </row>
    <row r="2044">
      <c t="s" s="7" r="A2044">
        <v>201</v>
      </c>
      <c s="7" r="B2044">
        <v>2071</v>
      </c>
      <c s="30" r="C2044">
        <v>11</v>
      </c>
      <c t="s" s="30" r="D2044">
        <v>128</v>
      </c>
      <c t="s" s="30" r="E2044">
        <v>4</v>
      </c>
      <c t="s" s="30" r="F2044">
        <v>4</v>
      </c>
      <c t="s" s="30" r="G2044">
        <v>272</v>
      </c>
      <c t="str" s="12" r="H2044">
        <f>HYPERLINK("http://sofifa.com/en/fifa13winter/player/150023-ruben-garcia-santos","Rubén García")</f>
        <v>Rubén García</v>
      </c>
      <c s="30" r="I2044">
        <v>73</v>
      </c>
      <c t="s" s="30" r="J2044">
        <v>128</v>
      </c>
      <c t="s" s="30" r="K2044">
        <v>195</v>
      </c>
      <c t="s" s="30" r="L2044">
        <v>146</v>
      </c>
      <c s="30" r="M2044">
        <v>19</v>
      </c>
      <c s="26" r="N2044">
        <v>3.6</v>
      </c>
      <c s="23" r="O2044">
        <v>0.008</v>
      </c>
      <c s="7" r="P2044"/>
      <c s="7" r="Q2044"/>
      <c s="7" r="R2044">
        <f>IF((P2044&gt;0),O2044,0)</f>
        <v>0</v>
      </c>
      <c t="str" r="S2044">
        <f>CONCATENATE(F2044,E2044)</f>
        <v>NON FTLNON FTL</v>
      </c>
    </row>
    <row r="2045">
      <c t="s" s="7" r="A2045">
        <v>201</v>
      </c>
      <c s="7" r="B2045">
        <v>2072</v>
      </c>
      <c s="30" r="C2045">
        <v>7</v>
      </c>
      <c t="s" s="30" r="D2045">
        <v>162</v>
      </c>
      <c t="s" s="30" r="E2045">
        <v>4</v>
      </c>
      <c t="s" s="30" r="F2045">
        <v>4</v>
      </c>
      <c t="s" s="30" r="G2045">
        <v>272</v>
      </c>
      <c t="str" s="12" r="H2045">
        <f>HYPERLINK("http://sofifa.com/en/fifa13winter/player/144831-jose-javier-barkero-saludes","Barkero")</f>
        <v>Barkero</v>
      </c>
      <c s="30" r="I2045">
        <v>77</v>
      </c>
      <c t="s" s="30" r="J2045">
        <v>162</v>
      </c>
      <c t="s" s="30" r="K2045">
        <v>114</v>
      </c>
      <c t="s" s="30" r="L2045">
        <v>151</v>
      </c>
      <c s="30" r="M2045">
        <v>33</v>
      </c>
      <c s="26" r="N2045">
        <v>4.5</v>
      </c>
      <c s="23" r="O2045">
        <v>0.021</v>
      </c>
      <c s="7" r="P2045"/>
      <c s="7" r="Q2045"/>
      <c s="7" r="R2045">
        <f>IF((P2045&gt;0),O2045,0)</f>
        <v>0</v>
      </c>
      <c t="str" r="S2045">
        <f>CONCATENATE(F2045,E2045)</f>
        <v>NON FTLNON FTL</v>
      </c>
    </row>
    <row r="2046">
      <c t="s" s="7" r="A2046">
        <v>201</v>
      </c>
      <c s="7" r="B2046">
        <v>2073</v>
      </c>
      <c s="30" r="C2046">
        <v>9</v>
      </c>
      <c t="s" s="30" r="D2046">
        <v>129</v>
      </c>
      <c t="s" s="30" r="E2046">
        <v>4</v>
      </c>
      <c t="s" s="30" r="F2046">
        <v>4</v>
      </c>
      <c t="s" s="30" r="G2046">
        <v>272</v>
      </c>
      <c t="str" s="12" r="H2046">
        <f>HYPERLINK("http://sofifa.com/en/fifa13winter/player/147890-robert-acquafresca","R. Acquafresca")</f>
        <v>R. Acquafresca</v>
      </c>
      <c s="30" r="I2046">
        <v>72</v>
      </c>
      <c t="s" s="30" r="J2046">
        <v>129</v>
      </c>
      <c t="s" s="30" r="K2046">
        <v>167</v>
      </c>
      <c t="s" s="30" r="L2046">
        <v>138</v>
      </c>
      <c s="30" r="M2046">
        <v>24</v>
      </c>
      <c s="26" r="N2046">
        <v>3.2</v>
      </c>
      <c s="23" r="O2046">
        <v>0.009</v>
      </c>
      <c s="7" r="P2046"/>
      <c s="7" r="Q2046"/>
      <c s="7" r="R2046">
        <f>IF((P2046&gt;0),O2046,0)</f>
        <v>0</v>
      </c>
      <c t="str" r="S2046">
        <f>CONCATENATE(F2046,E2046)</f>
        <v>NON FTLNON FTL</v>
      </c>
    </row>
    <row r="2047">
      <c t="s" s="7" r="A2047">
        <v>201</v>
      </c>
      <c s="7" r="B2047">
        <v>2074</v>
      </c>
      <c s="30" r="C2047">
        <v>21</v>
      </c>
      <c t="s" s="30" r="D2047">
        <v>136</v>
      </c>
      <c t="s" s="30" r="E2047">
        <v>4</v>
      </c>
      <c t="s" s="30" r="F2047">
        <v>4</v>
      </c>
      <c t="s" s="30" r="G2047">
        <v>272</v>
      </c>
      <c t="str" s="12" r="H2047">
        <f>HYPERLINK("http://sofifa.com/en/fifa13winter/player/148212-miguel-angel-herrero-javaloyas","Míchel")</f>
        <v>Míchel</v>
      </c>
      <c s="30" r="I2047">
        <v>75</v>
      </c>
      <c t="s" s="30" r="J2047">
        <v>162</v>
      </c>
      <c t="s" s="30" r="K2047">
        <v>150</v>
      </c>
      <c t="s" s="30" r="L2047">
        <v>111</v>
      </c>
      <c s="30" r="M2047">
        <v>24</v>
      </c>
      <c s="26" r="N2047">
        <v>4.8</v>
      </c>
      <c s="23" r="O2047">
        <v>0.013</v>
      </c>
      <c s="7" r="P2047"/>
      <c s="7" r="Q2047"/>
      <c s="7" r="R2047">
        <f>IF((P2047&gt;0),O2047,0)</f>
        <v>0</v>
      </c>
      <c t="str" r="S2047">
        <f>CONCATENATE(F2047,E2047)</f>
        <v>NON FTLNON FTL</v>
      </c>
    </row>
    <row r="2048">
      <c t="s" s="7" r="A2048">
        <v>201</v>
      </c>
      <c s="7" r="B2048">
        <v>2075</v>
      </c>
      <c s="30" r="C2048">
        <v>5</v>
      </c>
      <c t="s" s="30" r="D2048">
        <v>136</v>
      </c>
      <c t="s" s="30" r="E2048">
        <v>4</v>
      </c>
      <c t="s" s="30" r="F2048">
        <v>4</v>
      </c>
      <c t="s" s="30" r="G2048">
        <v>272</v>
      </c>
      <c t="str" s="12" r="H2048">
        <f>HYPERLINK("http://sofifa.com/en/fifa13winter/player/148068-hector-rodas-ramirez","Héctor Rodas")</f>
        <v>Héctor Rodas</v>
      </c>
      <c s="30" r="I2048">
        <v>68</v>
      </c>
      <c t="s" s="30" r="J2048">
        <v>113</v>
      </c>
      <c t="s" s="30" r="K2048">
        <v>152</v>
      </c>
      <c t="s" s="30" r="L2048">
        <v>153</v>
      </c>
      <c s="30" r="M2048">
        <v>24</v>
      </c>
      <c s="26" r="N2048">
        <v>1.7</v>
      </c>
      <c s="23" r="O2048">
        <v>0.006</v>
      </c>
      <c s="7" r="P2048"/>
      <c s="7" r="Q2048"/>
      <c s="7" r="R2048">
        <f>IF((P2048&gt;0),O2048,0)</f>
        <v>0</v>
      </c>
      <c t="str" r="S2048">
        <f>CONCATENATE(F2048,E2048)</f>
        <v>NON FTLNON FTL</v>
      </c>
    </row>
    <row r="2049">
      <c t="s" s="7" r="A2049">
        <v>201</v>
      </c>
      <c s="7" r="B2049">
        <v>2076</v>
      </c>
      <c s="30" r="C2049">
        <v>15</v>
      </c>
      <c t="s" s="30" r="D2049">
        <v>136</v>
      </c>
      <c t="s" s="30" r="E2049">
        <v>4</v>
      </c>
      <c t="s" s="30" r="F2049">
        <v>4</v>
      </c>
      <c t="s" s="30" r="G2049">
        <v>272</v>
      </c>
      <c t="str" s="12" r="H2049">
        <f>HYPERLINK("http://sofifa.com/en/fifa13winter/player/146895-nikolaos-karampelas","N. Karampelas")</f>
        <v>N. Karampelas</v>
      </c>
      <c s="30" r="I2049">
        <v>69</v>
      </c>
      <c t="s" s="30" r="J2049">
        <v>117</v>
      </c>
      <c t="s" s="30" r="K2049">
        <v>145</v>
      </c>
      <c t="s" s="30" r="L2049">
        <v>138</v>
      </c>
      <c s="30" r="M2049">
        <v>27</v>
      </c>
      <c s="26" r="N2049">
        <v>1.6</v>
      </c>
      <c s="23" r="O2049">
        <v>0.007</v>
      </c>
      <c s="7" r="P2049"/>
      <c s="7" r="Q2049"/>
      <c s="7" r="R2049">
        <f>IF((P2049&gt;0),O2049,0)</f>
        <v>0</v>
      </c>
      <c t="str" r="S2049">
        <f>CONCATENATE(F2049,E2049)</f>
        <v>NON FTLNON FTL</v>
      </c>
    </row>
    <row r="2050">
      <c t="s" s="7" r="A2050">
        <v>201</v>
      </c>
      <c s="7" r="B2050">
        <v>2077</v>
      </c>
      <c s="30" r="C2050">
        <v>17</v>
      </c>
      <c t="s" s="30" r="D2050">
        <v>136</v>
      </c>
      <c t="s" s="30" r="E2050">
        <v>4</v>
      </c>
      <c t="s" s="30" r="F2050">
        <v>4</v>
      </c>
      <c t="s" s="30" r="G2050">
        <v>272</v>
      </c>
      <c t="str" s="12" r="H2050">
        <f>HYPERLINK("http://sofifa.com/en/fifa13winter/player/145558-valmiro-lopes-rocha","Valdo")</f>
        <v>Valdo</v>
      </c>
      <c s="30" r="I2050">
        <v>72</v>
      </c>
      <c t="s" s="30" r="J2050">
        <v>120</v>
      </c>
      <c t="s" s="30" r="K2050">
        <v>167</v>
      </c>
      <c t="s" s="30" r="L2050">
        <v>161</v>
      </c>
      <c s="30" r="M2050">
        <v>31</v>
      </c>
      <c s="26" r="N2050">
        <v>2.2</v>
      </c>
      <c s="23" r="O2050">
        <v>0.01</v>
      </c>
      <c s="7" r="P2050"/>
      <c s="7" r="Q2050"/>
      <c s="7" r="R2050">
        <f>IF((P2050&gt;0),O2050,0)</f>
        <v>0</v>
      </c>
      <c t="str" r="S2050">
        <f>CONCATENATE(F2050,E2050)</f>
        <v>NON FTLNON FTL</v>
      </c>
    </row>
    <row r="2051">
      <c t="s" s="7" r="A2051">
        <v>201</v>
      </c>
      <c s="7" r="B2051">
        <v>2078</v>
      </c>
      <c s="30" r="C2051">
        <v>27</v>
      </c>
      <c t="s" s="30" r="D2051">
        <v>136</v>
      </c>
      <c t="s" s="30" r="E2051">
        <v>4</v>
      </c>
      <c t="s" s="30" r="F2051">
        <v>4</v>
      </c>
      <c t="s" s="30" r="G2051">
        <v>272</v>
      </c>
      <c t="str" s="12" r="H2051">
        <f>HYPERLINK("http://sofifa.com/en/fifa13winter/player/149100-roger-marti-salvador","Roger")</f>
        <v>Roger</v>
      </c>
      <c s="30" r="I2051">
        <v>66</v>
      </c>
      <c t="s" s="30" r="J2051">
        <v>129</v>
      </c>
      <c t="s" s="30" r="K2051">
        <v>145</v>
      </c>
      <c t="s" s="30" r="L2051">
        <v>160</v>
      </c>
      <c s="30" r="M2051">
        <v>21</v>
      </c>
      <c s="26" r="N2051">
        <v>1.5</v>
      </c>
      <c s="23" r="O2051">
        <v>0.005</v>
      </c>
      <c s="7" r="P2051"/>
      <c s="7" r="Q2051"/>
      <c s="7" r="R2051">
        <f>IF((P2051&gt;0),O2051,0)</f>
        <v>0</v>
      </c>
      <c t="str" r="S2051">
        <f>CONCATENATE(F2051,E2051)</f>
        <v>NON FTLNON FTL</v>
      </c>
    </row>
    <row r="2052">
      <c t="s" s="7" r="A2052">
        <v>201</v>
      </c>
      <c s="7" r="B2052">
        <v>2079</v>
      </c>
      <c s="30" r="C2052">
        <v>1</v>
      </c>
      <c t="s" s="30" r="D2052">
        <v>136</v>
      </c>
      <c t="s" s="30" r="E2052">
        <v>4</v>
      </c>
      <c t="s" s="30" r="F2052">
        <v>4</v>
      </c>
      <c t="s" s="30" r="G2052">
        <v>272</v>
      </c>
      <c t="str" s="12" r="H2052">
        <f>HYPERLINK("http://sofifa.com/en/fifa13winter/player/144376-gustavo-munua","G. Munúa")</f>
        <v>G. Munúa</v>
      </c>
      <c s="30" r="I2052">
        <v>74</v>
      </c>
      <c t="s" s="30" r="J2052">
        <v>106</v>
      </c>
      <c t="s" s="30" r="K2052">
        <v>155</v>
      </c>
      <c t="s" s="30" r="L2052">
        <v>175</v>
      </c>
      <c s="30" r="M2052">
        <v>34</v>
      </c>
      <c s="26" r="N2052">
        <v>1.8</v>
      </c>
      <c s="23" r="O2052">
        <v>0.014</v>
      </c>
      <c s="7" r="P2052"/>
      <c s="7" r="Q2052"/>
      <c s="7" r="R2052">
        <f>IF((P2052&gt;0),O2052,0)</f>
        <v>0</v>
      </c>
      <c t="str" r="S2052">
        <f>CONCATENATE(F2052,E2052)</f>
        <v>NON FTLNON FTL</v>
      </c>
    </row>
    <row r="2053">
      <c t="s" s="7" r="A2053">
        <v>201</v>
      </c>
      <c s="7" r="B2053">
        <v>2080</v>
      </c>
      <c s="30" r="C2053">
        <v>24</v>
      </c>
      <c t="s" s="30" r="D2053">
        <v>136</v>
      </c>
      <c t="s" s="30" r="E2053">
        <v>4</v>
      </c>
      <c t="s" s="30" r="F2053">
        <v>4</v>
      </c>
      <c t="s" s="30" r="G2053">
        <v>272</v>
      </c>
      <c t="str" s="12" r="H2053">
        <f>HYPERLINK("http://sofifa.com/en/fifa13winter/player/148206-simao-mate-junior","Simao Mate")</f>
        <v>Simao Mate</v>
      </c>
      <c s="30" r="I2053">
        <v>70</v>
      </c>
      <c t="s" s="30" r="J2053">
        <v>154</v>
      </c>
      <c t="s" s="30" r="K2053">
        <v>118</v>
      </c>
      <c t="s" s="30" r="L2053">
        <v>161</v>
      </c>
      <c s="30" r="M2053">
        <v>24</v>
      </c>
      <c s="26" r="N2053">
        <v>1.8</v>
      </c>
      <c s="23" r="O2053">
        <v>0.007</v>
      </c>
      <c s="7" r="P2053"/>
      <c s="7" r="Q2053"/>
      <c s="7" r="R2053">
        <f>IF((P2053&gt;0),O2053,0)</f>
        <v>0</v>
      </c>
      <c t="str" r="S2053">
        <f>CONCATENATE(F2053,E2053)</f>
        <v>NON FTLNON FTL</v>
      </c>
    </row>
    <row r="2054">
      <c t="s" s="7" r="A2054">
        <v>201</v>
      </c>
      <c s="7" r="B2054">
        <v>2081</v>
      </c>
      <c s="30" r="C2054">
        <v>14</v>
      </c>
      <c t="s" s="30" r="D2054">
        <v>136</v>
      </c>
      <c t="s" s="30" r="E2054">
        <v>4</v>
      </c>
      <c t="s" s="30" r="F2054">
        <v>4</v>
      </c>
      <c t="s" s="30" r="G2054">
        <v>272</v>
      </c>
      <c t="str" s="12" r="H2054">
        <f>HYPERLINK("http://sofifa.com/en/fifa13winter/player/146518-dariusz-dudka","D. Dudka")</f>
        <v>D. Dudka</v>
      </c>
      <c s="30" r="I2054">
        <v>69</v>
      </c>
      <c t="s" s="30" r="J2054">
        <v>154</v>
      </c>
      <c t="s" s="30" r="K2054">
        <v>143</v>
      </c>
      <c t="s" s="30" r="L2054">
        <v>142</v>
      </c>
      <c s="30" r="M2054">
        <v>28</v>
      </c>
      <c s="26" r="N2054">
        <v>1.5</v>
      </c>
      <c s="23" r="O2054">
        <v>0.007</v>
      </c>
      <c s="7" r="P2054"/>
      <c s="7" r="Q2054"/>
      <c s="7" r="R2054">
        <f>IF((P2054&gt;0),O2054,0)</f>
        <v>0</v>
      </c>
      <c t="str" r="S2054">
        <f>CONCATENATE(F2054,E2054)</f>
        <v>NON FTLNON FTL</v>
      </c>
    </row>
    <row r="2055">
      <c t="s" s="7" r="A2055">
        <v>201</v>
      </c>
      <c s="7" r="B2055">
        <v>2082</v>
      </c>
      <c s="30" r="C2055">
        <v>20</v>
      </c>
      <c t="s" s="30" r="D2055">
        <v>136</v>
      </c>
      <c t="s" s="30" r="E2055">
        <v>4</v>
      </c>
      <c t="s" s="30" r="F2055">
        <v>4</v>
      </c>
      <c t="s" s="30" r="G2055">
        <v>272</v>
      </c>
      <c t="str" s="12" r="H2055">
        <f>HYPERLINK("http://sofifa.com/en/fifa13winter/player/145218-juan-luis-gomez-lopez","Juanlu")</f>
        <v>Juanlu</v>
      </c>
      <c s="30" r="I2055">
        <v>70</v>
      </c>
      <c t="s" s="30" r="J2055">
        <v>128</v>
      </c>
      <c t="s" s="30" r="K2055">
        <v>130</v>
      </c>
      <c t="s" s="30" r="L2055">
        <v>122</v>
      </c>
      <c s="30" r="M2055">
        <v>32</v>
      </c>
      <c s="26" r="N2055">
        <v>1.4</v>
      </c>
      <c s="23" r="O2055">
        <v>0.008</v>
      </c>
      <c s="7" r="P2055"/>
      <c s="7" r="Q2055"/>
      <c s="7" r="R2055">
        <f>IF((P2055&gt;0),O2055,0)</f>
        <v>0</v>
      </c>
      <c t="str" r="S2055">
        <f>CONCATENATE(F2055,E2055)</f>
        <v>NON FTLNON FTL</v>
      </c>
    </row>
    <row r="2056">
      <c t="s" s="7" r="A2056">
        <v>201</v>
      </c>
      <c s="7" r="B2056">
        <v>2083</v>
      </c>
      <c s="30" r="C2056">
        <v>16</v>
      </c>
      <c t="s" s="30" r="D2056">
        <v>136</v>
      </c>
      <c t="s" s="30" r="E2056">
        <v>4</v>
      </c>
      <c t="s" s="30" r="F2056">
        <v>4</v>
      </c>
      <c t="s" s="30" r="G2056">
        <v>272</v>
      </c>
      <c t="str" s="12" r="H2056">
        <f>HYPERLINK("http://sofifa.com/en/fifa13winter/player/145791-pedro-rios-maestre","Pedro Ríos")</f>
        <v>Pedro Ríos</v>
      </c>
      <c s="30" r="I2056">
        <v>72</v>
      </c>
      <c t="s" s="30" r="J2056">
        <v>120</v>
      </c>
      <c t="s" s="30" r="K2056">
        <v>139</v>
      </c>
      <c t="s" s="30" r="L2056">
        <v>146</v>
      </c>
      <c s="30" r="M2056">
        <v>30</v>
      </c>
      <c s="26" r="N2056">
        <v>2.3</v>
      </c>
      <c s="23" r="O2056">
        <v>0.01</v>
      </c>
      <c s="7" r="P2056"/>
      <c s="7" r="Q2056"/>
      <c s="7" r="R2056">
        <f>IF((P2056&gt;0),O2056,0)</f>
        <v>0</v>
      </c>
      <c t="str" r="S2056">
        <f>CONCATENATE(F2056,E2056)</f>
        <v>NON FTLNON FTL</v>
      </c>
    </row>
    <row r="2057">
      <c t="s" s="7" r="A2057">
        <v>201</v>
      </c>
      <c s="7" r="B2057">
        <v>2084</v>
      </c>
      <c s="30" r="C2057">
        <v>18</v>
      </c>
      <c t="s" s="30" r="D2057">
        <v>136</v>
      </c>
      <c t="s" s="30" r="E2057">
        <v>4</v>
      </c>
      <c t="s" s="30" r="F2057">
        <v>4</v>
      </c>
      <c t="s" s="30" r="G2057">
        <v>272</v>
      </c>
      <c t="str" s="12" r="H2057">
        <f>HYPERLINK("http://sofifa.com/en/fifa13winter/player/143500-sergio-m-ballesteros","Ballesteros")</f>
        <v>Ballesteros</v>
      </c>
      <c s="30" r="I2057">
        <v>74</v>
      </c>
      <c t="s" s="30" r="J2057">
        <v>113</v>
      </c>
      <c t="s" s="30" r="K2057">
        <v>134</v>
      </c>
      <c t="s" s="30" r="L2057">
        <v>184</v>
      </c>
      <c s="30" r="M2057">
        <v>36</v>
      </c>
      <c s="26" r="N2057">
        <v>2</v>
      </c>
      <c s="23" r="O2057">
        <v>0.014</v>
      </c>
      <c s="7" r="P2057"/>
      <c s="7" r="Q2057"/>
      <c s="7" r="R2057">
        <f>IF((P2057&gt;0),O2057,0)</f>
        <v>0</v>
      </c>
      <c t="str" r="S2057">
        <f>CONCATENATE(F2057,E2057)</f>
        <v>NON FTLNON FTL</v>
      </c>
    </row>
    <row r="2058">
      <c t="s" s="7" r="A2058">
        <v>201</v>
      </c>
      <c s="7" r="B2058">
        <v>2085</v>
      </c>
      <c s="30" r="C2058">
        <v>19</v>
      </c>
      <c t="s" s="30" r="D2058">
        <v>136</v>
      </c>
      <c t="s" s="30" r="E2058">
        <v>4</v>
      </c>
      <c t="s" s="30" r="F2058">
        <v>4</v>
      </c>
      <c t="s" s="30" r="G2058">
        <v>272</v>
      </c>
      <c t="str" s="12" r="H2058">
        <f>HYPERLINK("http://sofifa.com/en/fifa13winter/player/146480-pedro-lopez-munoz","Pedro López")</f>
        <v>Pedro López</v>
      </c>
      <c s="30" r="I2058">
        <v>73</v>
      </c>
      <c t="s" s="30" r="J2058">
        <v>109</v>
      </c>
      <c t="s" s="30" r="K2058">
        <v>182</v>
      </c>
      <c t="s" s="30" r="L2058">
        <v>146</v>
      </c>
      <c s="30" r="M2058">
        <v>28</v>
      </c>
      <c s="26" r="N2058">
        <v>2.7</v>
      </c>
      <c s="23" r="O2058">
        <v>0.01</v>
      </c>
      <c s="7" r="P2058"/>
      <c s="7" r="Q2058"/>
      <c s="7" r="R2058">
        <f>IF((P2058&gt;0),O2058,0)</f>
        <v>0</v>
      </c>
      <c t="str" r="S2058">
        <f>CONCATENATE(F2058,E2058)</f>
        <v>NON FTLNON FTL</v>
      </c>
    </row>
    <row r="2059">
      <c t="s" s="7" r="A2059">
        <v>201</v>
      </c>
      <c s="7" r="B2059">
        <v>2086</v>
      </c>
      <c s="30" r="C2059">
        <v>41</v>
      </c>
      <c t="s" s="30" r="D2059">
        <v>147</v>
      </c>
      <c t="s" s="30" r="E2059">
        <v>4</v>
      </c>
      <c t="s" s="30" r="F2059">
        <v>4</v>
      </c>
      <c t="s" s="30" r="G2059">
        <v>272</v>
      </c>
      <c t="str" s="12" r="H2059">
        <f>HYPERLINK("http://sofifa.com/en/fifa13winter/player/150119-jeronimo-ferrando-ferri","Jero")</f>
        <v>Jero</v>
      </c>
      <c s="30" r="I2059">
        <v>57</v>
      </c>
      <c t="s" s="30" r="J2059">
        <v>120</v>
      </c>
      <c t="s" s="30" r="K2059">
        <v>159</v>
      </c>
      <c t="s" s="30" r="L2059">
        <v>125</v>
      </c>
      <c s="30" r="M2059">
        <v>18</v>
      </c>
      <c s="26" r="N2059">
        <v>0.2</v>
      </c>
      <c s="23" r="O2059">
        <v>0.002</v>
      </c>
      <c s="7" r="P2059"/>
      <c s="7" r="Q2059"/>
      <c s="7" r="R2059">
        <f>IF((P2059&gt;0),O2059,0)</f>
        <v>0</v>
      </c>
      <c t="str" r="S2059">
        <f>CONCATENATE(F2059,E2059)</f>
        <v>NON FTLNON FTL</v>
      </c>
    </row>
    <row r="2060">
      <c t="s" s="7" r="A2060">
        <v>201</v>
      </c>
      <c s="7" r="B2060">
        <v>2087</v>
      </c>
      <c s="30" r="C2060">
        <v>37</v>
      </c>
      <c t="s" s="30" r="D2060">
        <v>147</v>
      </c>
      <c t="s" s="30" r="E2060">
        <v>4</v>
      </c>
      <c t="s" s="30" r="F2060">
        <v>4</v>
      </c>
      <c t="s" s="30" r="G2060">
        <v>272</v>
      </c>
      <c t="str" s="12" r="H2060">
        <f>HYPERLINK("http://sofifa.com/en/fifa13winter/player/148762-jose-andres-rodriguez-gaitan","Andy")</f>
        <v>Andy</v>
      </c>
      <c s="30" r="I2060">
        <v>62</v>
      </c>
      <c t="s" s="30" r="J2060">
        <v>124</v>
      </c>
      <c t="s" s="30" r="K2060">
        <v>132</v>
      </c>
      <c t="s" s="30" r="L2060">
        <v>158</v>
      </c>
      <c s="30" r="M2060">
        <v>22</v>
      </c>
      <c s="26" r="N2060">
        <v>0.7</v>
      </c>
      <c s="23" r="O2060">
        <v>0.003</v>
      </c>
      <c s="7" r="P2060"/>
      <c s="7" r="Q2060"/>
      <c s="7" r="R2060">
        <f>IF((P2060&gt;0),O2060,0)</f>
        <v>0</v>
      </c>
      <c t="str" r="S2060">
        <f>CONCATENATE(F2060,E2060)</f>
        <v>NON FTLNON FTL</v>
      </c>
    </row>
    <row r="2061">
      <c t="s" s="7" r="A2061">
        <v>201</v>
      </c>
      <c s="7" r="B2061">
        <v>2088</v>
      </c>
      <c s="30" r="C2061">
        <v>35</v>
      </c>
      <c t="s" s="30" r="D2061">
        <v>147</v>
      </c>
      <c t="s" s="30" r="E2061">
        <v>4</v>
      </c>
      <c t="s" s="30" r="F2061">
        <v>4</v>
      </c>
      <c t="s" s="30" r="G2061">
        <v>272</v>
      </c>
      <c t="str" s="12" r="H2061">
        <f>HYPERLINK("http://sofifa.com/en/fifa13winter/player/149578-carlos-selfa-sanfelix","Selfa")</f>
        <v>Selfa</v>
      </c>
      <c s="30" r="I2061">
        <v>56</v>
      </c>
      <c t="s" s="30" r="J2061">
        <v>154</v>
      </c>
      <c t="s" s="30" r="K2061">
        <v>143</v>
      </c>
      <c t="s" s="30" r="L2061">
        <v>151</v>
      </c>
      <c s="30" r="M2061">
        <v>20</v>
      </c>
      <c s="26" r="N2061">
        <v>0.1</v>
      </c>
      <c s="23" r="O2061">
        <v>0.002</v>
      </c>
      <c s="7" r="P2061"/>
      <c s="7" r="Q2061"/>
      <c s="7" r="R2061">
        <f>IF((P2061&gt;0),O2061,0)</f>
        <v>0</v>
      </c>
      <c t="str" r="S2061">
        <f>CONCATENATE(F2061,E2061)</f>
        <v>NON FTLNON FTL</v>
      </c>
    </row>
    <row r="2062">
      <c t="s" s="7" r="A2062">
        <v>201</v>
      </c>
      <c s="7" r="B2062">
        <v>2089</v>
      </c>
      <c s="30" r="C2062">
        <v>28</v>
      </c>
      <c t="s" s="30" r="D2062">
        <v>147</v>
      </c>
      <c t="s" s="30" r="E2062">
        <v>4</v>
      </c>
      <c t="s" s="30" r="F2062">
        <v>4</v>
      </c>
      <c t="s" s="30" r="G2062">
        <v>272</v>
      </c>
      <c t="str" s="12" r="H2062">
        <f>HYPERLINK("http://sofifa.com/en/fifa13winter/player/150063-ivan-lopez-mendoza","Iván")</f>
        <v>Iván</v>
      </c>
      <c s="30" r="I2062">
        <v>63</v>
      </c>
      <c t="s" s="30" r="J2062">
        <v>109</v>
      </c>
      <c t="s" s="30" r="K2062">
        <v>139</v>
      </c>
      <c t="s" s="30" r="L2062">
        <v>111</v>
      </c>
      <c s="30" r="M2062">
        <v>19</v>
      </c>
      <c s="26" r="N2062">
        <v>0.8</v>
      </c>
      <c s="23" r="O2062">
        <v>0.003</v>
      </c>
      <c s="7" r="P2062"/>
      <c s="7" r="Q2062"/>
      <c s="7" r="R2062">
        <f>IF((P2062&gt;0),O2062,0)</f>
        <v>0</v>
      </c>
      <c t="str" r="S2062">
        <f>CONCATENATE(F2062,E2062)</f>
        <v>NON FTLNON FTL</v>
      </c>
    </row>
    <row r="2063">
      <c t="s" s="7" r="A2063">
        <v>201</v>
      </c>
      <c s="7" r="B2063">
        <v>2090</v>
      </c>
      <c s="30" r="C2063">
        <v>32</v>
      </c>
      <c t="s" s="30" r="D2063">
        <v>147</v>
      </c>
      <c t="s" s="30" r="E2063">
        <v>4</v>
      </c>
      <c t="s" s="30" r="F2063">
        <v>4</v>
      </c>
      <c t="s" s="30" r="G2063">
        <v>272</v>
      </c>
      <c t="str" s="12" r="H2063">
        <f>HYPERLINK("http://sofifa.com/en/fifa13winter/player/148395-jesus-moyano-ramon","Moyano")</f>
        <v>Moyano</v>
      </c>
      <c s="30" r="I2063">
        <v>58</v>
      </c>
      <c t="s" s="30" r="J2063">
        <v>113</v>
      </c>
      <c t="s" s="30" r="K2063">
        <v>145</v>
      </c>
      <c t="s" s="30" r="L2063">
        <v>122</v>
      </c>
      <c s="30" r="M2063">
        <v>23</v>
      </c>
      <c s="26" r="N2063">
        <v>0.3</v>
      </c>
      <c s="23" r="O2063">
        <v>0.002</v>
      </c>
      <c s="7" r="P2063"/>
      <c s="7" r="Q2063"/>
      <c s="7" r="R2063">
        <f>IF((P2063&gt;0),O2063,0)</f>
        <v>0</v>
      </c>
      <c t="str" r="S2063">
        <f>CONCATENATE(F2063,E2063)</f>
        <v>NON FTLNON FTL</v>
      </c>
    </row>
    <row r="2064">
      <c t="s" s="7" r="A2064">
        <v>201</v>
      </c>
      <c s="7" r="B2064">
        <v>2091</v>
      </c>
      <c s="30" r="C2064">
        <v>26</v>
      </c>
      <c t="s" s="30" r="D2064">
        <v>147</v>
      </c>
      <c t="s" s="30" r="E2064">
        <v>4</v>
      </c>
      <c t="s" s="30" r="F2064">
        <v>4</v>
      </c>
      <c t="s" s="30" r="G2064">
        <v>272</v>
      </c>
      <c t="str" s="12" r="H2064">
        <f>HYPERLINK("http://sofifa.com/en/fifa13winter/player/148503-sergio-garabato-sastre","Garabato")</f>
        <v>Garabato</v>
      </c>
      <c s="30" r="I2064">
        <v>58</v>
      </c>
      <c t="s" s="30" r="J2064">
        <v>106</v>
      </c>
      <c t="s" s="30" r="K2064">
        <v>155</v>
      </c>
      <c t="s" s="30" r="L2064">
        <v>192</v>
      </c>
      <c s="30" r="M2064">
        <v>23</v>
      </c>
      <c s="26" r="N2064">
        <v>0.3</v>
      </c>
      <c s="23" r="O2064">
        <v>0.002</v>
      </c>
      <c s="7" r="P2064"/>
      <c s="7" r="Q2064"/>
      <c s="7" r="R2064">
        <f>IF((P2064&gt;0),O2064,0)</f>
        <v>0</v>
      </c>
      <c t="str" r="S2064">
        <f>CONCATENATE(F2064,E2064)</f>
        <v>NON FTLNON FTL</v>
      </c>
    </row>
    <row r="2065">
      <c t="s" s="7" r="A2065">
        <v>201</v>
      </c>
      <c s="7" r="B2065">
        <v>2092</v>
      </c>
      <c s="30" r="C2065">
        <v>30</v>
      </c>
      <c t="s" s="30" r="D2065">
        <v>147</v>
      </c>
      <c t="s" s="30" r="E2065">
        <v>4</v>
      </c>
      <c t="s" s="30" r="F2065">
        <v>4</v>
      </c>
      <c t="s" s="30" r="G2065">
        <v>272</v>
      </c>
      <c t="str" s="12" r="H2065">
        <f>HYPERLINK("http://sofifa.com/en/fifa13winter/player/149239-jose-marco-higon","Higón")</f>
        <v>Higón</v>
      </c>
      <c s="30" r="I2065">
        <v>60</v>
      </c>
      <c t="s" s="30" r="J2065">
        <v>120</v>
      </c>
      <c t="s" s="30" r="K2065">
        <v>130</v>
      </c>
      <c t="s" s="30" r="L2065">
        <v>149</v>
      </c>
      <c s="30" r="M2065">
        <v>21</v>
      </c>
      <c s="26" r="N2065">
        <v>0.6</v>
      </c>
      <c s="23" r="O2065">
        <v>0.003</v>
      </c>
      <c s="7" r="P2065"/>
      <c s="7" r="Q2065"/>
      <c s="7" r="R2065">
        <f>IF((P2065&gt;0),O2065,0)</f>
        <v>0</v>
      </c>
      <c t="str" r="S2065">
        <f>CONCATENATE(F2065,E2065)</f>
        <v>NON FTLNON FTL</v>
      </c>
    </row>
    <row r="2066">
      <c t="s" s="7" r="A2066">
        <v>201</v>
      </c>
      <c s="7" r="B2066">
        <v>2093</v>
      </c>
      <c s="30" r="C2066">
        <v>39</v>
      </c>
      <c t="s" s="30" r="D2066">
        <v>147</v>
      </c>
      <c t="s" s="30" r="E2066">
        <v>4</v>
      </c>
      <c t="s" s="30" r="F2066">
        <v>4</v>
      </c>
      <c t="s" s="30" r="G2066">
        <v>272</v>
      </c>
      <c t="str" s="12" r="H2066">
        <f>HYPERLINK("http://sofifa.com/en/fifa13winter/player/149118-alfredo-ortuno-martinez","Alfredo Ortuño")</f>
        <v>Alfredo Ortuño</v>
      </c>
      <c s="30" r="I2066">
        <v>58</v>
      </c>
      <c t="s" s="30" r="J2066">
        <v>129</v>
      </c>
      <c t="s" s="30" r="K2066">
        <v>167</v>
      </c>
      <c t="s" s="30" r="L2066">
        <v>156</v>
      </c>
      <c s="30" r="M2066">
        <v>21</v>
      </c>
      <c s="26" r="N2066">
        <v>0.4</v>
      </c>
      <c s="23" r="O2066">
        <v>0.002</v>
      </c>
      <c s="7" r="P2066"/>
      <c s="7" r="Q2066"/>
      <c s="7" r="R2066">
        <f>IF((P2066&gt;0),O2066,0)</f>
        <v>0</v>
      </c>
      <c t="str" r="S2066">
        <f>CONCATENATE(F2066,E2066)</f>
        <v>NON FTLNON FTL</v>
      </c>
    </row>
    <row r="2067">
      <c t="s" s="7" r="A2067">
        <v>201</v>
      </c>
      <c s="7" r="B2067">
        <v>2094</v>
      </c>
      <c s="30" r="C2067">
        <v>36</v>
      </c>
      <c t="s" s="30" r="D2067">
        <v>147</v>
      </c>
      <c t="s" s="30" r="E2067">
        <v>4</v>
      </c>
      <c t="s" s="30" r="F2067">
        <v>4</v>
      </c>
      <c t="s" s="30" r="G2067">
        <v>272</v>
      </c>
      <c t="str" s="12" r="H2067">
        <f>HYPERLINK("http://sofifa.com/en/fifa13winter/player/148391-jose-maria-angresola-jimenez","Mossa")</f>
        <v>Mossa</v>
      </c>
      <c s="30" r="I2067">
        <v>58</v>
      </c>
      <c t="s" s="30" r="J2067">
        <v>117</v>
      </c>
      <c t="s" s="30" r="K2067">
        <v>118</v>
      </c>
      <c t="s" s="30" r="L2067">
        <v>125</v>
      </c>
      <c s="30" r="M2067">
        <v>23</v>
      </c>
      <c s="26" r="N2067">
        <v>0.3</v>
      </c>
      <c s="23" r="O2067">
        <v>0.002</v>
      </c>
      <c s="7" r="P2067"/>
      <c s="7" r="Q2067"/>
      <c s="7" r="R2067">
        <f>IF((P2067&gt;0),O2067,0)</f>
        <v>0</v>
      </c>
      <c t="str" r="S2067">
        <f>CONCATENATE(F2067,E2067)</f>
        <v>NON FTLNON FTL</v>
      </c>
    </row>
    <row r="2068">
      <c t="s" s="7" r="A2068">
        <v>201</v>
      </c>
      <c s="7" r="B2068">
        <v>2095</v>
      </c>
      <c s="30" r="C2068">
        <v>46</v>
      </c>
      <c t="s" s="30" r="D2068">
        <v>147</v>
      </c>
      <c t="s" s="30" r="E2068">
        <v>4</v>
      </c>
      <c t="s" s="30" r="F2068">
        <v>4</v>
      </c>
      <c t="s" s="30" r="G2068">
        <v>272</v>
      </c>
      <c t="str" s="12" r="H2068">
        <f>HYPERLINK("http://sofifa.com/en/fifa13winter/player/150380-david-remeseiro-salgueiro","Jason")</f>
        <v>Jason</v>
      </c>
      <c s="30" r="I2068">
        <v>53</v>
      </c>
      <c t="s" s="30" r="J2068">
        <v>129</v>
      </c>
      <c t="s" s="30" r="K2068">
        <v>118</v>
      </c>
      <c t="s" s="30" r="L2068">
        <v>149</v>
      </c>
      <c s="30" r="M2068">
        <v>18</v>
      </c>
      <c s="26" r="N2068">
        <v>0.1</v>
      </c>
      <c s="23" r="O2068">
        <v>0.002</v>
      </c>
      <c s="7" r="P2068"/>
      <c s="7" r="Q2068"/>
      <c s="7" r="R2068">
        <f>IF((P2068&gt;0),O2068,0)</f>
        <v>0</v>
      </c>
      <c t="str" r="S2068">
        <f>CONCATENATE(F2068,E2068)</f>
        <v>NON FTLNON FTL</v>
      </c>
    </row>
    <row r="2069">
      <c t="s" s="7" r="A2069">
        <v>201</v>
      </c>
      <c s="7" r="B2069">
        <v>2096</v>
      </c>
      <c s="30" r="C2069">
        <v>13</v>
      </c>
      <c t="s" s="30" r="D2069">
        <v>106</v>
      </c>
      <c t="s" s="30" r="E2069">
        <v>4</v>
      </c>
      <c t="s" s="30" r="F2069">
        <v>4</v>
      </c>
      <c t="s" s="30" r="G2069">
        <v>273</v>
      </c>
      <c t="str" s="12" r="H2069">
        <f>HYPERLINK("http://sofifa.com/en/fifa13winter/player/147546-francisco-casilla-cortes","Casilla")</f>
        <v>Casilla</v>
      </c>
      <c s="30" r="I2069">
        <v>75</v>
      </c>
      <c t="s" s="30" r="J2069">
        <v>106</v>
      </c>
      <c t="s" s="30" r="K2069">
        <v>144</v>
      </c>
      <c t="s" s="30" r="L2069">
        <v>156</v>
      </c>
      <c s="30" r="M2069">
        <v>25</v>
      </c>
      <c s="26" r="N2069">
        <v>3.5</v>
      </c>
      <c s="23" r="O2069">
        <v>0.013</v>
      </c>
      <c s="7" r="P2069"/>
      <c s="7" r="Q2069"/>
      <c s="7" r="R2069">
        <f>IF((P2069&gt;0),O2069,0)</f>
        <v>0</v>
      </c>
      <c t="str" r="S2069">
        <f>CONCATENATE(F2069,E2069)</f>
        <v>NON FTLNON FTL</v>
      </c>
    </row>
    <row r="2070">
      <c t="s" s="7" r="A2070">
        <v>201</v>
      </c>
      <c s="7" r="B2070">
        <v>2097</v>
      </c>
      <c s="30" r="C2070">
        <v>16</v>
      </c>
      <c t="s" s="30" r="D2070">
        <v>109</v>
      </c>
      <c t="s" s="30" r="E2070">
        <v>4</v>
      </c>
      <c t="s" s="30" r="F2070">
        <v>4</v>
      </c>
      <c t="s" s="30" r="G2070">
        <v>273</v>
      </c>
      <c t="str" s="12" r="H2070">
        <f>HYPERLINK("http://sofifa.com/en/fifa13winter/player/147292-javier-lopez-rodriguez","Javi López")</f>
        <v>Javi López</v>
      </c>
      <c s="30" r="I2070">
        <v>71</v>
      </c>
      <c t="s" s="30" r="J2070">
        <v>109</v>
      </c>
      <c t="s" s="30" r="K2070">
        <v>114</v>
      </c>
      <c t="s" s="30" r="L2070">
        <v>137</v>
      </c>
      <c s="30" r="M2070">
        <v>26</v>
      </c>
      <c s="26" r="N2070">
        <v>2</v>
      </c>
      <c s="23" r="O2070">
        <v>0.008</v>
      </c>
      <c s="7" r="P2070"/>
      <c s="7" r="Q2070"/>
      <c s="7" r="R2070">
        <f>IF((P2070&gt;0),O2070,0)</f>
        <v>0</v>
      </c>
      <c t="str" r="S2070">
        <f>CONCATENATE(F2070,E2070)</f>
        <v>NON FTLNON FTL</v>
      </c>
    </row>
    <row r="2071">
      <c t="s" s="7" r="A2071">
        <v>201</v>
      </c>
      <c s="7" r="B2071">
        <v>2098</v>
      </c>
      <c s="30" r="C2071">
        <v>19</v>
      </c>
      <c t="s" s="30" r="D2071">
        <v>112</v>
      </c>
      <c t="s" s="30" r="E2071">
        <v>4</v>
      </c>
      <c t="s" s="30" r="F2071">
        <v>4</v>
      </c>
      <c t="s" s="30" r="G2071">
        <v>273</v>
      </c>
      <c t="str" s="12" r="H2071">
        <f>HYPERLINK("http://sofifa.com/en/fifa13winter/player/145514-diego-colotto","D. Colotto")</f>
        <v>D. Colotto</v>
      </c>
      <c s="30" r="I2071">
        <v>75</v>
      </c>
      <c t="s" s="30" r="J2071">
        <v>113</v>
      </c>
      <c t="s" s="30" r="K2071">
        <v>167</v>
      </c>
      <c t="s" s="30" r="L2071">
        <v>183</v>
      </c>
      <c s="30" r="M2071">
        <v>31</v>
      </c>
      <c s="26" r="N2071">
        <v>3.3</v>
      </c>
      <c s="23" r="O2071">
        <v>0.015</v>
      </c>
      <c s="7" r="P2071"/>
      <c s="7" r="Q2071"/>
      <c s="7" r="R2071">
        <f>IF((P2071&gt;0),O2071,0)</f>
        <v>0</v>
      </c>
      <c t="str" r="S2071">
        <f>CONCATENATE(F2071,E2071)</f>
        <v>NON FTLNON FTL</v>
      </c>
    </row>
    <row r="2072">
      <c t="s" s="7" r="A2072">
        <v>201</v>
      </c>
      <c s="7" r="B2072">
        <v>2099</v>
      </c>
      <c s="30" r="C2072">
        <v>15</v>
      </c>
      <c t="s" s="30" r="D2072">
        <v>116</v>
      </c>
      <c t="s" s="30" r="E2072">
        <v>4</v>
      </c>
      <c t="s" s="30" r="F2072">
        <v>4</v>
      </c>
      <c t="s" s="30" r="G2072">
        <v>273</v>
      </c>
      <c t="str" s="12" r="H2072">
        <f>HYPERLINK("http://sofifa.com/en/fifa13winter/player/148018-hector-moreno","H. Moreno")</f>
        <v>H. Moreno</v>
      </c>
      <c s="30" r="I2072">
        <v>77</v>
      </c>
      <c t="s" s="30" r="J2072">
        <v>113</v>
      </c>
      <c t="s" s="30" r="K2072">
        <v>167</v>
      </c>
      <c t="s" s="30" r="L2072">
        <v>153</v>
      </c>
      <c s="30" r="M2072">
        <v>24</v>
      </c>
      <c s="26" r="N2072">
        <v>5.7</v>
      </c>
      <c s="23" r="O2072">
        <v>0.017</v>
      </c>
      <c s="7" r="P2072"/>
      <c s="7" r="Q2072"/>
      <c s="7" r="R2072">
        <f>IF((P2072&gt;0),O2072,0)</f>
        <v>0</v>
      </c>
      <c t="str" r="S2072">
        <f>CONCATENATE(F2072,E2072)</f>
        <v>NON FTLNON FTL</v>
      </c>
    </row>
    <row r="2073">
      <c t="s" s="7" r="A2073">
        <v>201</v>
      </c>
      <c s="7" r="B2073">
        <v>2100</v>
      </c>
      <c s="30" r="C2073">
        <v>18</v>
      </c>
      <c t="s" s="30" r="D2073">
        <v>117</v>
      </c>
      <c t="s" s="30" r="E2073">
        <v>4</v>
      </c>
      <c t="s" s="30" r="F2073">
        <v>4</v>
      </c>
      <c t="s" s="30" r="G2073">
        <v>273</v>
      </c>
      <c t="str" s="12" r="H2073">
        <f>HYPERLINK("http://sofifa.com/en/fifa13winter/player/144383-joan-capdevila-mendez","Capdevila")</f>
        <v>Capdevila</v>
      </c>
      <c s="30" r="I2073">
        <v>73</v>
      </c>
      <c t="s" s="30" r="J2073">
        <v>117</v>
      </c>
      <c t="s" s="30" r="K2073">
        <v>143</v>
      </c>
      <c t="s" s="30" r="L2073">
        <v>161</v>
      </c>
      <c s="30" r="M2073">
        <v>34</v>
      </c>
      <c s="26" r="N2073">
        <v>1.8</v>
      </c>
      <c s="23" r="O2073">
        <v>0.012</v>
      </c>
      <c s="7" r="P2073"/>
      <c s="7" r="Q2073"/>
      <c s="7" r="R2073">
        <f>IF((P2073&gt;0),O2073,0)</f>
        <v>0</v>
      </c>
      <c t="str" r="S2073">
        <f>CONCATENATE(F2073,E2073)</f>
        <v>NON FTLNON FTL</v>
      </c>
    </row>
    <row r="2074">
      <c t="s" s="7" r="A2074">
        <v>201</v>
      </c>
      <c s="7" r="B2074">
        <v>2101</v>
      </c>
      <c s="30" r="C2074">
        <v>6</v>
      </c>
      <c t="s" s="30" r="D2074">
        <v>186</v>
      </c>
      <c t="s" s="30" r="E2074">
        <v>4</v>
      </c>
      <c t="s" s="30" r="F2074">
        <v>4</v>
      </c>
      <c t="s" s="30" r="G2074">
        <v>273</v>
      </c>
      <c t="str" s="12" r="H2074">
        <f>HYPERLINK("http://sofifa.com/en/fifa13winter/player/148011-juan-daniel-forlin","J. Forlin")</f>
        <v>J. Forlin</v>
      </c>
      <c s="30" r="I2074">
        <v>75</v>
      </c>
      <c t="s" s="30" r="J2074">
        <v>154</v>
      </c>
      <c t="s" s="30" r="K2074">
        <v>114</v>
      </c>
      <c t="s" s="30" r="L2074">
        <v>138</v>
      </c>
      <c s="30" r="M2074">
        <v>24</v>
      </c>
      <c s="26" r="N2074">
        <v>4</v>
      </c>
      <c s="23" r="O2074">
        <v>0.013</v>
      </c>
      <c s="7" r="P2074"/>
      <c s="7" r="Q2074"/>
      <c s="7" r="R2074">
        <f>IF((P2074&gt;0),O2074,0)</f>
        <v>0</v>
      </c>
      <c t="str" r="S2074">
        <f>CONCATENATE(F2074,E2074)</f>
        <v>NON FTLNON FTL</v>
      </c>
    </row>
    <row r="2075">
      <c t="s" s="7" r="A2075">
        <v>201</v>
      </c>
      <c s="7" r="B2075">
        <v>2102</v>
      </c>
      <c s="30" r="C2075">
        <v>23</v>
      </c>
      <c t="s" s="30" r="D2075">
        <v>174</v>
      </c>
      <c t="s" s="30" r="E2075">
        <v>4</v>
      </c>
      <c t="s" s="30" r="F2075">
        <v>4</v>
      </c>
      <c t="s" s="30" r="G2075">
        <v>273</v>
      </c>
      <c t="str" s="12" r="H2075">
        <f>HYPERLINK("http://sofifa.com/en/fifa13winter/player/148575-cristian-gomez-garcia","Cristian Gómez")</f>
        <v>Cristian Gómez</v>
      </c>
      <c s="30" r="I2075">
        <v>70</v>
      </c>
      <c t="s" s="30" r="J2075">
        <v>124</v>
      </c>
      <c t="s" s="30" r="K2075">
        <v>150</v>
      </c>
      <c t="s" s="30" r="L2075">
        <v>151</v>
      </c>
      <c s="30" r="M2075">
        <v>23</v>
      </c>
      <c s="26" r="N2075">
        <v>1.9</v>
      </c>
      <c s="23" r="O2075">
        <v>0.006</v>
      </c>
      <c s="7" r="P2075"/>
      <c s="7" r="Q2075"/>
      <c s="7" r="R2075">
        <f>IF((P2075&gt;0),O2075,0)</f>
        <v>0</v>
      </c>
      <c t="str" r="S2075">
        <f>CONCATENATE(F2075,E2075)</f>
        <v>NON FTLNON FTL</v>
      </c>
    </row>
    <row r="2076">
      <c t="s" s="7" r="A2076">
        <v>201</v>
      </c>
      <c s="7" r="B2076">
        <v>2103</v>
      </c>
      <c s="30" r="C2076">
        <v>20</v>
      </c>
      <c t="s" s="30" r="D2076">
        <v>120</v>
      </c>
      <c t="s" s="30" r="E2076">
        <v>4</v>
      </c>
      <c t="s" s="30" r="F2076">
        <v>4</v>
      </c>
      <c t="s" s="30" r="G2076">
        <v>273</v>
      </c>
      <c t="str" s="12" r="H2076">
        <f>HYPERLINK("http://sofifa.com/en/fifa13winter/player/145018-simao-pedro-fonseca-sabrosa","Simao")</f>
        <v>Simao</v>
      </c>
      <c s="30" r="I2076">
        <v>76</v>
      </c>
      <c t="s" s="30" r="J2076">
        <v>128</v>
      </c>
      <c t="s" s="30" r="K2076">
        <v>121</v>
      </c>
      <c t="s" s="30" r="L2076">
        <v>141</v>
      </c>
      <c s="30" r="M2076">
        <v>32</v>
      </c>
      <c s="26" r="N2076">
        <v>3.8</v>
      </c>
      <c s="23" r="O2076">
        <v>0.018</v>
      </c>
      <c s="7" r="P2076"/>
      <c s="7" r="Q2076"/>
      <c s="7" r="R2076">
        <f>IF((P2076&gt;0),O2076,0)</f>
        <v>0</v>
      </c>
      <c t="str" r="S2076">
        <f>CONCATENATE(F2076,E2076)</f>
        <v>NON FTLNON FTL</v>
      </c>
    </row>
    <row r="2077">
      <c t="s" s="7" r="A2077">
        <v>201</v>
      </c>
      <c s="7" r="B2077">
        <v>2104</v>
      </c>
      <c s="30" r="C2077">
        <v>22</v>
      </c>
      <c t="s" s="30" r="D2077">
        <v>128</v>
      </c>
      <c t="s" s="30" r="E2077">
        <v>4</v>
      </c>
      <c t="s" s="30" r="F2077">
        <v>4</v>
      </c>
      <c t="s" s="30" r="G2077">
        <v>273</v>
      </c>
      <c t="str" s="12" r="H2077">
        <f>HYPERLINK("http://sofifa.com/en/fifa13winter/player/148938-mubarak-wakaso","M. Wakaso")</f>
        <v>M. Wakaso</v>
      </c>
      <c s="30" r="I2077">
        <v>75</v>
      </c>
      <c t="s" s="30" r="J2077">
        <v>128</v>
      </c>
      <c t="s" s="30" r="K2077">
        <v>197</v>
      </c>
      <c t="s" s="30" r="L2077">
        <v>111</v>
      </c>
      <c s="30" r="M2077">
        <v>22</v>
      </c>
      <c s="26" r="N2077">
        <v>5</v>
      </c>
      <c s="23" r="O2077">
        <v>0.012</v>
      </c>
      <c s="7" r="P2077"/>
      <c s="7" r="Q2077"/>
      <c s="7" r="R2077">
        <f>IF((P2077&gt;0),O2077,0)</f>
        <v>0</v>
      </c>
      <c t="str" r="S2077">
        <f>CONCATENATE(F2077,E2077)</f>
        <v>NON FTLNON FTL</v>
      </c>
    </row>
    <row r="2078">
      <c t="s" s="7" r="A2078">
        <v>201</v>
      </c>
      <c s="7" r="B2078">
        <v>2105</v>
      </c>
      <c s="30" r="C2078">
        <v>8</v>
      </c>
      <c t="s" s="30" r="D2078">
        <v>162</v>
      </c>
      <c t="s" s="30" r="E2078">
        <v>4</v>
      </c>
      <c t="s" s="30" r="F2078">
        <v>4</v>
      </c>
      <c t="s" s="30" r="G2078">
        <v>273</v>
      </c>
      <c t="str" s="12" r="H2078">
        <f>HYPERLINK("http://sofifa.com/en/fifa13winter/player/147617-christian-stuani","C. Stuani")</f>
        <v>C. Stuani</v>
      </c>
      <c s="30" r="I2078">
        <v>74</v>
      </c>
      <c t="s" s="30" r="J2078">
        <v>129</v>
      </c>
      <c t="s" s="30" r="K2078">
        <v>167</v>
      </c>
      <c t="s" s="30" r="L2078">
        <v>119</v>
      </c>
      <c s="30" r="M2078">
        <v>25</v>
      </c>
      <c s="26" r="N2078">
        <v>4.1</v>
      </c>
      <c s="23" r="O2078">
        <v>0.011</v>
      </c>
      <c s="7" r="P2078"/>
      <c s="7" r="Q2078"/>
      <c s="7" r="R2078">
        <f>IF((P2078&gt;0),O2078,0)</f>
        <v>0</v>
      </c>
      <c t="str" r="S2078">
        <f>CONCATENATE(F2078,E2078)</f>
        <v>NON FTLNON FTL</v>
      </c>
    </row>
    <row r="2079">
      <c t="s" s="7" r="A2079">
        <v>201</v>
      </c>
      <c s="7" r="B2079">
        <v>2106</v>
      </c>
      <c s="30" r="C2079">
        <v>9</v>
      </c>
      <c t="s" s="30" r="D2079">
        <v>129</v>
      </c>
      <c t="s" s="30" r="E2079">
        <v>4</v>
      </c>
      <c t="s" s="30" r="F2079">
        <v>4</v>
      </c>
      <c t="s" s="30" r="G2079">
        <v>273</v>
      </c>
      <c t="str" s="12" r="H2079">
        <f>HYPERLINK("http://sofifa.com/en/fifa13winter/player/146335-sergio-garcia-de-la-fuente","Sergio García")</f>
        <v>Sergio García</v>
      </c>
      <c s="30" r="I2079">
        <v>75</v>
      </c>
      <c t="s" s="30" r="J2079">
        <v>129</v>
      </c>
      <c t="s" s="30" r="K2079">
        <v>182</v>
      </c>
      <c t="s" s="30" r="L2079">
        <v>146</v>
      </c>
      <c s="30" r="M2079">
        <v>29</v>
      </c>
      <c s="26" r="N2079">
        <v>4.5</v>
      </c>
      <c s="23" r="O2079">
        <v>0.014</v>
      </c>
      <c s="7" r="P2079"/>
      <c s="7" r="Q2079"/>
      <c s="7" r="R2079">
        <f>IF((P2079&gt;0),O2079,0)</f>
        <v>0</v>
      </c>
      <c t="str" r="S2079">
        <f>CONCATENATE(F2079,E2079)</f>
        <v>NON FTLNON FTL</v>
      </c>
    </row>
    <row r="2080">
      <c t="s" s="7" r="A2080">
        <v>201</v>
      </c>
      <c s="7" r="B2080">
        <v>2107</v>
      </c>
      <c s="30" r="C2080">
        <v>26</v>
      </c>
      <c t="s" s="30" r="D2080">
        <v>136</v>
      </c>
      <c t="s" s="30" r="E2080">
        <v>4</v>
      </c>
      <c t="s" s="30" r="F2080">
        <v>4</v>
      </c>
      <c t="s" s="30" r="G2080">
        <v>273</v>
      </c>
      <c t="str" s="12" r="H2080">
        <f>HYPERLINK("http://sofifa.com/en/fifa13winter/player/149505-edgar-badia-guardiola","Edgar Badía")</f>
        <v>Edgar Badía</v>
      </c>
      <c s="30" r="I2080">
        <v>64</v>
      </c>
      <c t="s" s="30" r="J2080">
        <v>106</v>
      </c>
      <c t="s" s="30" r="K2080">
        <v>150</v>
      </c>
      <c t="s" s="30" r="L2080">
        <v>137</v>
      </c>
      <c s="30" r="M2080">
        <v>20</v>
      </c>
      <c s="26" r="N2080">
        <v>0.8</v>
      </c>
      <c s="23" r="O2080">
        <v>0.004</v>
      </c>
      <c s="7" r="P2080"/>
      <c s="7" r="Q2080"/>
      <c s="7" r="R2080">
        <f>IF((P2080&gt;0),O2080,0)</f>
        <v>0</v>
      </c>
      <c t="str" r="S2080">
        <f>CONCATENATE(F2080,E2080)</f>
        <v>NON FTLNON FTL</v>
      </c>
    </row>
    <row r="2081">
      <c t="s" s="7" r="A2081">
        <v>201</v>
      </c>
      <c s="7" r="B2081">
        <v>2108</v>
      </c>
      <c s="30" r="C2081">
        <v>12</v>
      </c>
      <c t="s" s="30" r="D2081">
        <v>136</v>
      </c>
      <c t="s" s="30" r="E2081">
        <v>4</v>
      </c>
      <c t="s" s="30" r="F2081">
        <v>4</v>
      </c>
      <c t="s" s="30" r="G2081">
        <v>273</v>
      </c>
      <c t="str" s="12" r="H2081">
        <f>HYPERLINK("http://sofifa.com/en/fifa13winter/player/149474-samuele-longo","S. Longo")</f>
        <v>S. Longo</v>
      </c>
      <c s="30" r="I2081">
        <v>70</v>
      </c>
      <c t="s" s="30" r="J2081">
        <v>129</v>
      </c>
      <c t="s" s="30" r="K2081">
        <v>132</v>
      </c>
      <c t="s" s="30" r="L2081">
        <v>138</v>
      </c>
      <c s="30" r="M2081">
        <v>20</v>
      </c>
      <c s="26" r="N2081">
        <v>2.5</v>
      </c>
      <c s="23" r="O2081">
        <v>0.006</v>
      </c>
      <c s="7" r="P2081"/>
      <c s="7" r="Q2081"/>
      <c s="7" r="R2081">
        <f>IF((P2081&gt;0),O2081,0)</f>
        <v>0</v>
      </c>
      <c t="str" r="S2081">
        <f>CONCATENATE(F2081,E2081)</f>
        <v>NON FTLNON FTL</v>
      </c>
    </row>
    <row r="2082">
      <c t="s" s="7" r="A2082">
        <v>201</v>
      </c>
      <c s="7" r="B2082">
        <v>2109</v>
      </c>
      <c s="30" r="C2082">
        <v>27</v>
      </c>
      <c t="s" s="30" r="D2082">
        <v>136</v>
      </c>
      <c t="s" s="30" r="E2082">
        <v>4</v>
      </c>
      <c t="s" s="30" r="F2082">
        <v>4</v>
      </c>
      <c t="s" s="30" r="G2082">
        <v>273</v>
      </c>
      <c t="str" s="12" r="H2082">
        <f>HYPERLINK("http://sofifa.com/en/fifa13winter/player/149901-victor-alvarez-delgado","Víctor Álvarez")</f>
        <v>Víctor Álvarez</v>
      </c>
      <c s="30" r="I2082">
        <v>69</v>
      </c>
      <c t="s" s="30" r="J2082">
        <v>117</v>
      </c>
      <c t="s" s="30" r="K2082">
        <v>118</v>
      </c>
      <c t="s" s="30" r="L2082">
        <v>111</v>
      </c>
      <c s="30" r="M2082">
        <v>19</v>
      </c>
      <c s="26" r="N2082">
        <v>1.9</v>
      </c>
      <c s="23" r="O2082">
        <v>0.005</v>
      </c>
      <c s="7" r="P2082"/>
      <c s="7" r="Q2082"/>
      <c s="7" r="R2082">
        <f>IF((P2082&gt;0),O2082,0)</f>
        <v>0</v>
      </c>
      <c t="str" r="S2082">
        <f>CONCATENATE(F2082,E2082)</f>
        <v>NON FTLNON FTL</v>
      </c>
    </row>
    <row r="2083">
      <c t="s" s="7" r="A2083">
        <v>201</v>
      </c>
      <c s="7" r="B2083">
        <v>2110</v>
      </c>
      <c s="30" r="C2083">
        <v>3</v>
      </c>
      <c t="s" s="30" r="D2083">
        <v>136</v>
      </c>
      <c t="s" s="30" r="E2083">
        <v>4</v>
      </c>
      <c t="s" s="30" r="F2083">
        <v>4</v>
      </c>
      <c t="s" s="30" r="G2083">
        <v>273</v>
      </c>
      <c t="str" s="12" r="H2083">
        <f>HYPERLINK("http://sofifa.com/en/fifa13winter/player/147901-raul-rodriguez-navarro","Raúl Rodríguez")</f>
        <v>Raúl Rodríguez</v>
      </c>
      <c s="30" r="I2083">
        <v>72</v>
      </c>
      <c t="s" s="30" r="J2083">
        <v>113</v>
      </c>
      <c t="s" s="30" r="K2083">
        <v>110</v>
      </c>
      <c t="s" s="30" r="L2083">
        <v>160</v>
      </c>
      <c s="30" r="M2083">
        <v>24</v>
      </c>
      <c s="26" r="N2083">
        <v>2.6</v>
      </c>
      <c s="23" r="O2083">
        <v>0.009</v>
      </c>
      <c s="7" r="P2083"/>
      <c s="7" r="Q2083"/>
      <c s="7" r="R2083">
        <f>IF((P2083&gt;0),O2083,0)</f>
        <v>0</v>
      </c>
      <c t="str" r="S2083">
        <f>CONCATENATE(F2083,E2083)</f>
        <v>NON FTLNON FTL</v>
      </c>
    </row>
    <row r="2084">
      <c t="s" s="7" r="A2084">
        <v>201</v>
      </c>
      <c s="7" r="B2084">
        <v>2111</v>
      </c>
      <c s="30" r="C2084">
        <v>24</v>
      </c>
      <c t="s" s="30" r="D2084">
        <v>136</v>
      </c>
      <c t="s" s="30" r="E2084">
        <v>4</v>
      </c>
      <c t="s" s="30" r="F2084">
        <v>4</v>
      </c>
      <c t="s" s="30" r="G2084">
        <v>273</v>
      </c>
      <c t="str" s="12" r="H2084">
        <f>HYPERLINK("http://sofifa.com/en/fifa13winter/player/148489-christian-alfonso-lopez","Christian Alfonso")</f>
        <v>Christian Alfonso</v>
      </c>
      <c s="30" r="I2084">
        <v>67</v>
      </c>
      <c t="s" s="30" r="J2084">
        <v>162</v>
      </c>
      <c t="s" s="30" r="K2084">
        <v>150</v>
      </c>
      <c t="s" s="30" r="L2084">
        <v>138</v>
      </c>
      <c s="30" r="M2084">
        <v>23</v>
      </c>
      <c s="26" r="N2084">
        <v>1.6</v>
      </c>
      <c s="23" r="O2084">
        <v>0.005</v>
      </c>
      <c s="7" r="P2084"/>
      <c s="7" r="Q2084"/>
      <c s="7" r="R2084">
        <f>IF((P2084&gt;0),O2084,0)</f>
        <v>0</v>
      </c>
      <c t="str" r="S2084">
        <f>CONCATENATE(F2084,E2084)</f>
        <v>NON FTLNON FTL</v>
      </c>
    </row>
    <row r="2085">
      <c t="s" s="7" r="A2085">
        <v>201</v>
      </c>
      <c s="7" r="B2085">
        <v>2112</v>
      </c>
      <c s="30" r="C2085">
        <v>7</v>
      </c>
      <c t="s" s="30" r="D2085">
        <v>136</v>
      </c>
      <c t="s" s="30" r="E2085">
        <v>4</v>
      </c>
      <c t="s" s="30" r="F2085">
        <v>4</v>
      </c>
      <c t="s" s="30" r="G2085">
        <v>273</v>
      </c>
      <c t="str" s="12" r="H2085">
        <f>HYPERLINK("http://sofifa.com/en/fifa13winter/player/148428-jose-raul-baena-urdiales","Baena")</f>
        <v>Baena</v>
      </c>
      <c s="30" r="I2085">
        <v>73</v>
      </c>
      <c t="s" s="30" r="J2085">
        <v>154</v>
      </c>
      <c t="s" s="30" r="K2085">
        <v>150</v>
      </c>
      <c t="s" s="30" r="L2085">
        <v>183</v>
      </c>
      <c s="30" r="M2085">
        <v>23</v>
      </c>
      <c s="26" r="N2085">
        <v>2.9</v>
      </c>
      <c s="23" r="O2085">
        <v>0.009</v>
      </c>
      <c s="7" r="P2085"/>
      <c s="7" r="Q2085"/>
      <c s="7" r="R2085">
        <f>IF((P2085&gt;0),O2085,0)</f>
        <v>0</v>
      </c>
      <c t="str" r="S2085">
        <f>CONCATENATE(F2085,E2085)</f>
        <v>NON FTLNON FTL</v>
      </c>
    </row>
    <row r="2086">
      <c t="s" s="7" r="A2086">
        <v>201</v>
      </c>
      <c s="7" r="B2086">
        <v>2113</v>
      </c>
      <c s="30" r="C2086">
        <v>5</v>
      </c>
      <c t="s" s="30" r="D2086">
        <v>136</v>
      </c>
      <c t="s" s="30" r="E2086">
        <v>4</v>
      </c>
      <c t="s" s="30" r="F2086">
        <v>4</v>
      </c>
      <c t="s" s="30" r="G2086">
        <v>273</v>
      </c>
      <c t="str" s="12" r="H2086">
        <f>HYPERLINK("http://sofifa.com/en/fifa13winter/player/148880-sergio-tejera-rodriguez","Sergio Tejera")</f>
        <v>Sergio Tejera</v>
      </c>
      <c s="30" r="I2086">
        <v>71</v>
      </c>
      <c t="s" s="30" r="J2086">
        <v>124</v>
      </c>
      <c t="s" s="30" r="K2086">
        <v>150</v>
      </c>
      <c t="s" s="30" r="L2086">
        <v>137</v>
      </c>
      <c s="30" r="M2086">
        <v>22</v>
      </c>
      <c s="26" r="N2086">
        <v>2.3</v>
      </c>
      <c s="23" r="O2086">
        <v>0.007</v>
      </c>
      <c s="7" r="P2086"/>
      <c s="7" r="Q2086"/>
      <c s="7" r="R2086">
        <f>IF((P2086&gt;0),O2086,0)</f>
        <v>0</v>
      </c>
      <c t="str" r="S2086">
        <f>CONCATENATE(F2086,E2086)</f>
        <v>NON FTLNON FTL</v>
      </c>
    </row>
    <row r="2087">
      <c t="s" s="7" r="A2087">
        <v>201</v>
      </c>
      <c s="7" r="B2087">
        <v>2114</v>
      </c>
      <c s="30" r="C2087">
        <v>10</v>
      </c>
      <c t="s" s="30" r="D2087">
        <v>136</v>
      </c>
      <c t="s" s="30" r="E2087">
        <v>4</v>
      </c>
      <c t="s" s="30" r="F2087">
        <v>4</v>
      </c>
      <c t="s" s="30" r="G2087">
        <v>273</v>
      </c>
      <c t="str" s="12" r="H2087">
        <f>HYPERLINK("http://sofifa.com/en/fifa13winter/player/146300-joan-verdu-fernandez","Verdú")</f>
        <v>Verdú</v>
      </c>
      <c s="30" r="I2087">
        <v>80</v>
      </c>
      <c t="s" s="30" r="J2087">
        <v>162</v>
      </c>
      <c t="s" s="30" r="K2087">
        <v>118</v>
      </c>
      <c t="s" s="30" r="L2087">
        <v>142</v>
      </c>
      <c s="30" r="M2087">
        <v>29</v>
      </c>
      <c s="26" r="N2087">
        <v>10.6</v>
      </c>
      <c s="23" r="O2087">
        <v>0.032</v>
      </c>
      <c s="7" r="P2087"/>
      <c s="7" r="Q2087"/>
      <c s="7" r="R2087">
        <f>IF((P2087&gt;0),O2087,0)</f>
        <v>0</v>
      </c>
      <c t="str" r="S2087">
        <f>CONCATENATE(F2087,E2087)</f>
        <v>NON FTLNON FTL</v>
      </c>
    </row>
    <row r="2088">
      <c t="s" s="7" r="A2088">
        <v>201</v>
      </c>
      <c s="7" r="B2088">
        <v>2115</v>
      </c>
      <c s="30" r="C2088">
        <v>2</v>
      </c>
      <c t="s" s="30" r="D2088">
        <v>136</v>
      </c>
      <c t="s" s="30" r="E2088">
        <v>4</v>
      </c>
      <c t="s" s="30" r="F2088">
        <v>4</v>
      </c>
      <c t="s" s="30" r="G2088">
        <v>273</v>
      </c>
      <c t="str" s="12" r="H2088">
        <f>HYPERLINK("http://sofifa.com/en/fifa13winter/player/148290-felipe-mattioni-rohde","Felipe Mattioni")</f>
        <v>Felipe Mattioni</v>
      </c>
      <c s="30" r="I2088">
        <v>68</v>
      </c>
      <c t="s" s="30" r="J2088">
        <v>109</v>
      </c>
      <c t="s" s="30" r="K2088">
        <v>114</v>
      </c>
      <c t="s" s="30" r="L2088">
        <v>151</v>
      </c>
      <c s="30" r="M2088">
        <v>23</v>
      </c>
      <c s="26" r="N2088">
        <v>1.5</v>
      </c>
      <c s="23" r="O2088">
        <v>0.006</v>
      </c>
      <c s="7" r="P2088"/>
      <c s="7" r="Q2088"/>
      <c s="7" r="R2088">
        <f>IF((P2088&gt;0),O2088,0)</f>
        <v>0</v>
      </c>
      <c t="str" r="S2088">
        <f>CONCATENATE(F2088,E2088)</f>
        <v>NON FTLNON FTL</v>
      </c>
    </row>
    <row r="2089">
      <c t="s" s="7" r="A2089">
        <v>201</v>
      </c>
      <c s="7" r="B2089">
        <v>2116</v>
      </c>
      <c s="30" r="C2089">
        <v>1</v>
      </c>
      <c t="s" s="30" r="D2089">
        <v>136</v>
      </c>
      <c t="s" s="30" r="E2089">
        <v>4</v>
      </c>
      <c t="s" s="30" r="F2089">
        <v>4</v>
      </c>
      <c t="s" s="30" r="G2089">
        <v>273</v>
      </c>
      <c t="str" s="12" r="H2089">
        <f>HYPERLINK("http://sofifa.com/en/fifa13winter/player/147223-cristian-dario-alvarez","C. Álvarez")</f>
        <v>C. Álvarez</v>
      </c>
      <c s="30" r="I2089">
        <v>74</v>
      </c>
      <c t="s" s="30" r="J2089">
        <v>106</v>
      </c>
      <c t="s" s="30" r="K2089">
        <v>173</v>
      </c>
      <c t="s" s="30" r="L2089">
        <v>175</v>
      </c>
      <c s="30" r="M2089">
        <v>26</v>
      </c>
      <c s="26" r="N2089">
        <v>2.8</v>
      </c>
      <c s="23" r="O2089">
        <v>0.011</v>
      </c>
      <c s="7" r="P2089"/>
      <c s="7" r="Q2089"/>
      <c s="7" r="R2089">
        <f>IF((P2089&gt;0),O2089,0)</f>
        <v>0</v>
      </c>
      <c t="str" r="S2089">
        <f>CONCATENATE(F2089,E2089)</f>
        <v>NON FTLNON FTL</v>
      </c>
    </row>
    <row r="2090">
      <c t="s" s="7" r="A2090">
        <v>201</v>
      </c>
      <c s="7" r="B2090">
        <v>2117</v>
      </c>
      <c s="30" r="C2090">
        <v>4</v>
      </c>
      <c t="s" s="30" r="D2090">
        <v>136</v>
      </c>
      <c t="s" s="30" r="E2090">
        <v>4</v>
      </c>
      <c t="s" s="30" r="F2090">
        <v>4</v>
      </c>
      <c t="s" s="30" r="G2090">
        <v>273</v>
      </c>
      <c t="str" s="12" r="H2090">
        <f>HYPERLINK("http://sofifa.com/en/fifa13winter/player/147887-victor-sanchez-mata","Victor Sánchez")</f>
        <v>Victor Sánchez</v>
      </c>
      <c s="30" r="I2090">
        <v>74</v>
      </c>
      <c t="s" s="30" r="J2090">
        <v>124</v>
      </c>
      <c t="s" s="30" r="K2090">
        <v>182</v>
      </c>
      <c t="s" s="30" r="L2090">
        <v>146</v>
      </c>
      <c s="30" r="M2090">
        <v>24</v>
      </c>
      <c s="26" r="N2090">
        <v>3.4</v>
      </c>
      <c s="23" r="O2090">
        <v>0.011</v>
      </c>
      <c s="7" r="P2090"/>
      <c s="7" r="Q2090"/>
      <c s="7" r="R2090">
        <f>IF((P2090&gt;0),O2090,0)</f>
        <v>0</v>
      </c>
      <c t="str" r="S2090">
        <f>CONCATENATE(F2090,E2090)</f>
        <v>NON FTLNON FTL</v>
      </c>
    </row>
    <row r="2091">
      <c t="s" s="7" r="A2091">
        <v>201</v>
      </c>
      <c s="7" r="B2091">
        <v>2118</v>
      </c>
      <c s="30" r="C2091">
        <v>17</v>
      </c>
      <c t="s" s="30" r="D2091">
        <v>136</v>
      </c>
      <c t="s" s="30" r="E2091">
        <v>4</v>
      </c>
      <c t="s" s="30" r="F2091">
        <v>4</v>
      </c>
      <c t="s" s="30" r="G2091">
        <v>273</v>
      </c>
      <c t="str" s="12" r="H2091">
        <f>HYPERLINK("http://sofifa.com/en/fifa13winter/player/144729-martin-petrov","M. Petrov")</f>
        <v>M. Petrov</v>
      </c>
      <c s="30" r="I2091">
        <v>72</v>
      </c>
      <c t="s" s="30" r="J2091">
        <v>128</v>
      </c>
      <c t="s" s="30" r="K2091">
        <v>114</v>
      </c>
      <c t="s" s="30" r="L2091">
        <v>137</v>
      </c>
      <c s="30" r="M2091">
        <v>33</v>
      </c>
      <c s="26" r="N2091">
        <v>1.9</v>
      </c>
      <c s="23" r="O2091">
        <v>0.011</v>
      </c>
      <c s="7" r="P2091"/>
      <c s="7" r="Q2091"/>
      <c s="7" r="R2091">
        <f>IF((P2091&gt;0),O2091,0)</f>
        <v>0</v>
      </c>
      <c t="str" r="S2091">
        <f>CONCATENATE(F2091,E2091)</f>
        <v>NON FTLNON FTL</v>
      </c>
    </row>
    <row r="2092">
      <c t="s" s="7" r="A2092">
        <v>201</v>
      </c>
      <c s="7" r="B2092">
        <v>2119</v>
      </c>
      <c s="30" r="C2092">
        <v>37</v>
      </c>
      <c t="s" s="30" r="D2092">
        <v>147</v>
      </c>
      <c t="s" s="30" r="E2092">
        <v>4</v>
      </c>
      <c t="s" s="30" r="F2092">
        <v>4</v>
      </c>
      <c t="s" s="30" r="G2092">
        <v>273</v>
      </c>
      <c t="str" s="12" r="H2092">
        <f>HYPERLINK("http://sofifa.com/en/fifa13winter/player/149235-victor-manuel-armero-galindo","Victor Armero")</f>
        <v>Victor Armero</v>
      </c>
      <c s="30" r="I2092">
        <v>65</v>
      </c>
      <c t="s" s="30" r="J2092">
        <v>120</v>
      </c>
      <c t="s" s="30" r="K2092">
        <v>143</v>
      </c>
      <c t="s" s="30" r="L2092">
        <v>151</v>
      </c>
      <c s="30" r="M2092">
        <v>21</v>
      </c>
      <c s="26" r="N2092">
        <v>1.1</v>
      </c>
      <c s="23" r="O2092">
        <v>0.004</v>
      </c>
      <c s="7" r="P2092"/>
      <c s="7" r="Q2092"/>
      <c s="7" r="R2092">
        <f>IF((P2092&gt;0),O2092,0)</f>
        <v>0</v>
      </c>
      <c t="str" r="S2092">
        <f>CONCATENATE(F2092,E2092)</f>
        <v>NON FTLNON FTL</v>
      </c>
    </row>
    <row r="2093">
      <c t="s" s="7" r="A2093">
        <v>201</v>
      </c>
      <c s="7" r="B2093">
        <v>2120</v>
      </c>
      <c s="30" r="C2093">
        <v>38</v>
      </c>
      <c t="s" s="30" r="D2093">
        <v>147</v>
      </c>
      <c t="s" s="30" r="E2093">
        <v>4</v>
      </c>
      <c t="s" s="30" r="F2093">
        <v>4</v>
      </c>
      <c t="s" s="30" r="G2093">
        <v>273</v>
      </c>
      <c t="str" s="12" r="H2093">
        <f>HYPERLINK("http://sofifa.com/en/fifa13winter/player/148310-elton-martins-da-cruz","Elton Martins")</f>
        <v>Elton Martins</v>
      </c>
      <c s="30" r="I2093">
        <v>60</v>
      </c>
      <c t="s" s="30" r="J2093">
        <v>128</v>
      </c>
      <c t="s" s="30" r="K2093">
        <v>182</v>
      </c>
      <c t="s" s="30" r="L2093">
        <v>122</v>
      </c>
      <c s="30" r="M2093">
        <v>23</v>
      </c>
      <c s="26" r="N2093">
        <v>0.5</v>
      </c>
      <c s="23" r="O2093">
        <v>0.003</v>
      </c>
      <c s="7" r="P2093"/>
      <c s="7" r="Q2093"/>
      <c s="7" r="R2093">
        <f>IF((P2093&gt;0),O2093,0)</f>
        <v>0</v>
      </c>
      <c t="str" r="S2093">
        <f>CONCATENATE(F2093,E2093)</f>
        <v>NON FTLNON FTL</v>
      </c>
    </row>
    <row r="2094">
      <c t="s" s="7" r="A2094">
        <v>201</v>
      </c>
      <c s="7" r="B2094">
        <v>2121</v>
      </c>
      <c s="30" r="C2094">
        <v>29</v>
      </c>
      <c t="s" s="30" r="D2094">
        <v>147</v>
      </c>
      <c t="s" s="30" r="E2094">
        <v>4</v>
      </c>
      <c t="s" s="30" r="F2094">
        <v>4</v>
      </c>
      <c t="s" s="30" r="G2094">
        <v>273</v>
      </c>
      <c t="str" s="12" r="H2094">
        <f>HYPERLINK("http://sofifa.com/en/fifa13winter/player/149890-arthur-irawan","A. Irawan")</f>
        <v>A. Irawan</v>
      </c>
      <c s="30" r="I2094">
        <v>59</v>
      </c>
      <c t="s" s="30" r="J2094">
        <v>109</v>
      </c>
      <c t="s" s="30" r="K2094">
        <v>139</v>
      </c>
      <c t="s" s="30" r="L2094">
        <v>168</v>
      </c>
      <c s="30" r="M2094">
        <v>19</v>
      </c>
      <c s="26" r="N2094">
        <v>0.4</v>
      </c>
      <c s="23" r="O2094">
        <v>0.002</v>
      </c>
      <c s="7" r="P2094"/>
      <c s="7" r="Q2094"/>
      <c s="7" r="R2094">
        <f>IF((P2094&gt;0),O2094,0)</f>
        <v>0</v>
      </c>
      <c t="str" r="S2094">
        <f>CONCATENATE(F2094,E2094)</f>
        <v>NON FTLNON FTL</v>
      </c>
    </row>
    <row r="2095">
      <c t="s" s="7" r="A2095">
        <v>201</v>
      </c>
      <c s="7" r="B2095">
        <v>2122</v>
      </c>
      <c s="30" r="C2095">
        <v>35</v>
      </c>
      <c t="s" s="30" r="D2095">
        <v>147</v>
      </c>
      <c t="s" s="30" r="E2095">
        <v>4</v>
      </c>
      <c t="s" s="30" r="F2095">
        <v>4</v>
      </c>
      <c t="s" s="30" r="G2095">
        <v>273</v>
      </c>
      <c t="str" s="12" r="H2095">
        <f>HYPERLINK("http://sofifa.com/en/fifa13winter/player/149875-german-parreno-boix","Germán Parreño")</f>
        <v>Germán Parreño</v>
      </c>
      <c s="30" r="I2095">
        <v>61</v>
      </c>
      <c t="s" s="30" r="J2095">
        <v>106</v>
      </c>
      <c t="s" s="30" r="K2095">
        <v>169</v>
      </c>
      <c t="s" s="30" r="L2095">
        <v>161</v>
      </c>
      <c s="30" r="M2095">
        <v>19</v>
      </c>
      <c s="26" r="N2095">
        <v>0.6</v>
      </c>
      <c s="23" r="O2095">
        <v>0.003</v>
      </c>
      <c s="7" r="P2095"/>
      <c s="7" r="Q2095"/>
      <c s="7" r="R2095">
        <f>IF((P2095&gt;0),O2095,0)</f>
        <v>0</v>
      </c>
      <c t="str" r="S2095">
        <f>CONCATENATE(F2095,E2095)</f>
        <v>NON FTLNON FTL</v>
      </c>
    </row>
    <row r="2096">
      <c t="s" s="7" r="A2096">
        <v>201</v>
      </c>
      <c s="7" r="B2096">
        <v>2123</v>
      </c>
      <c s="30" r="C2096">
        <v>34</v>
      </c>
      <c t="s" s="30" r="D2096">
        <v>147</v>
      </c>
      <c t="s" s="30" r="E2096">
        <v>4</v>
      </c>
      <c t="s" s="30" r="F2096">
        <v>4</v>
      </c>
      <c t="s" s="30" r="G2096">
        <v>273</v>
      </c>
      <c t="str" s="12" r="H2096">
        <f>HYPERLINK("http://sofifa.com/en/fifa13winter/player/148902-david-cubillas-pena","Cubillas")</f>
        <v>Cubillas</v>
      </c>
      <c s="30" r="I2096">
        <v>60</v>
      </c>
      <c t="s" s="30" r="J2096">
        <v>129</v>
      </c>
      <c t="s" s="30" r="K2096">
        <v>152</v>
      </c>
      <c t="s" s="30" r="L2096">
        <v>161</v>
      </c>
      <c s="30" r="M2096">
        <v>22</v>
      </c>
      <c s="26" r="N2096">
        <v>0.6</v>
      </c>
      <c s="23" r="O2096">
        <v>0.003</v>
      </c>
      <c s="7" r="P2096"/>
      <c s="7" r="Q2096"/>
      <c s="7" r="R2096">
        <f>IF((P2096&gt;0),O2096,0)</f>
        <v>0</v>
      </c>
      <c t="str" r="S2096">
        <f>CONCATENATE(F2096,E2096)</f>
        <v>NON FTLNON FTL</v>
      </c>
    </row>
    <row r="2097">
      <c t="s" s="7" r="A2097">
        <v>201</v>
      </c>
      <c s="7" r="B2097">
        <v>2124</v>
      </c>
      <c s="30" r="C2097">
        <v>33</v>
      </c>
      <c t="s" s="30" r="D2097">
        <v>147</v>
      </c>
      <c t="s" s="30" r="E2097">
        <v>4</v>
      </c>
      <c t="s" s="30" r="F2097">
        <v>4</v>
      </c>
      <c t="s" s="30" r="G2097">
        <v>273</v>
      </c>
      <c t="str" s="12" r="H2097">
        <f>HYPERLINK("http://sofifa.com/en/fifa13winter/player/149514-carlos-clerc-martinez","Clerc")</f>
        <v>Clerc</v>
      </c>
      <c s="30" r="I2097">
        <v>60</v>
      </c>
      <c t="s" s="30" r="J2097">
        <v>117</v>
      </c>
      <c t="s" s="30" r="K2097">
        <v>114</v>
      </c>
      <c t="s" s="30" r="L2097">
        <v>146</v>
      </c>
      <c s="30" r="M2097">
        <v>20</v>
      </c>
      <c s="26" r="N2097">
        <v>0.5</v>
      </c>
      <c s="23" r="O2097">
        <v>0.003</v>
      </c>
      <c s="7" r="P2097"/>
      <c s="7" r="Q2097"/>
      <c s="7" r="R2097">
        <f>IF((P2097&gt;0),O2097,0)</f>
        <v>0</v>
      </c>
      <c t="str" r="S2097">
        <f>CONCATENATE(F2097,E2097)</f>
        <v>NON FTLNON FTL</v>
      </c>
    </row>
    <row r="2098">
      <c t="s" s="7" r="A2098">
        <v>201</v>
      </c>
      <c s="7" r="B2098">
        <v>2125</v>
      </c>
      <c s="30" r="C2098">
        <v>36</v>
      </c>
      <c t="s" s="30" r="D2098">
        <v>147</v>
      </c>
      <c t="s" s="30" r="E2098">
        <v>4</v>
      </c>
      <c t="s" s="30" r="F2098">
        <v>4</v>
      </c>
      <c t="s" s="30" r="G2098">
        <v>273</v>
      </c>
      <c t="str" s="12" r="H2098">
        <f>HYPERLINK("http://sofifa.com/en/fifa13winter/player/148088-francisco-j-miranda-mera","Fran Miranda")</f>
        <v>Fran Miranda</v>
      </c>
      <c s="30" r="I2098">
        <v>63</v>
      </c>
      <c t="s" s="30" r="J2098">
        <v>154</v>
      </c>
      <c t="s" s="30" r="K2098">
        <v>152</v>
      </c>
      <c t="s" s="30" r="L2098">
        <v>156</v>
      </c>
      <c s="30" r="M2098">
        <v>24</v>
      </c>
      <c s="26" r="N2098">
        <v>0.7</v>
      </c>
      <c s="23" r="O2098">
        <v>0.004</v>
      </c>
      <c s="7" r="P2098"/>
      <c s="7" r="Q2098"/>
      <c s="7" r="R2098">
        <f>IF((P2098&gt;0),O2098,0)</f>
        <v>0</v>
      </c>
      <c t="str" r="S2098">
        <f>CONCATENATE(F2098,E2098)</f>
        <v>NON FTLNON FTL</v>
      </c>
    </row>
    <row r="2099">
      <c t="s" s="7" r="A2099">
        <v>201</v>
      </c>
      <c s="7" r="B2099">
        <v>2126</v>
      </c>
      <c s="30" r="C2099">
        <v>32</v>
      </c>
      <c t="s" s="30" r="D2099">
        <v>147</v>
      </c>
      <c t="s" s="30" r="E2099">
        <v>4</v>
      </c>
      <c t="s" s="30" r="F2099">
        <v>4</v>
      </c>
      <c t="s" s="30" r="G2099">
        <v>273</v>
      </c>
      <c t="str" s="12" r="H2099">
        <f>HYPERLINK("http://sofifa.com/en/fifa13winter/player/148745-jonathan-de-amo-perez","Jonathan De Amo")</f>
        <v>Jonathan De Amo</v>
      </c>
      <c s="30" r="I2099">
        <v>55</v>
      </c>
      <c t="s" s="30" r="J2099">
        <v>113</v>
      </c>
      <c t="s" s="30" r="K2099">
        <v>152</v>
      </c>
      <c t="s" s="30" r="L2099">
        <v>183</v>
      </c>
      <c s="30" r="M2099">
        <v>22</v>
      </c>
      <c s="26" r="N2099">
        <v>0.1</v>
      </c>
      <c s="23" r="O2099">
        <v>0.002</v>
      </c>
      <c s="7" r="P2099"/>
      <c s="7" r="Q2099"/>
      <c s="7" r="R2099">
        <f>IF((P2099&gt;0),O2099,0)</f>
        <v>0</v>
      </c>
      <c t="str" r="S2099">
        <f>CONCATENATE(F2099,E2099)</f>
        <v>NON FTLNON FTL</v>
      </c>
    </row>
    <row r="2100">
      <c t="s" s="7" r="A2100">
        <v>201</v>
      </c>
      <c s="7" r="B2100">
        <v>2127</v>
      </c>
      <c s="30" r="C2100">
        <v>28</v>
      </c>
      <c t="s" s="30" r="D2100">
        <v>147</v>
      </c>
      <c t="s" s="30" r="E2100">
        <v>4</v>
      </c>
      <c t="s" s="30" r="F2100">
        <v>4</v>
      </c>
      <c t="s" s="30" r="G2100">
        <v>273</v>
      </c>
      <c t="str" s="12" r="H2100">
        <f>HYPERLINK("http://sofifa.com/en/fifa13winter/player/150565-tomislav-gomelt","T. Gomelt")</f>
        <v>T. Gomelt</v>
      </c>
      <c s="30" r="I2100">
        <v>66</v>
      </c>
      <c t="s" s="30" r="J2100">
        <v>120</v>
      </c>
      <c t="s" s="30" r="K2100">
        <v>132</v>
      </c>
      <c t="s" s="30" r="L2100">
        <v>151</v>
      </c>
      <c s="30" r="M2100">
        <v>17</v>
      </c>
      <c s="26" r="N2100">
        <v>1.4</v>
      </c>
      <c s="23" r="O2100">
        <v>0.004</v>
      </c>
      <c s="7" r="P2100"/>
      <c s="7" r="Q2100"/>
      <c s="7" r="R2100">
        <f>IF((P2100&gt;0),O2100,0)</f>
        <v>0</v>
      </c>
      <c t="str" r="S2100">
        <f>CONCATENATE(F2100,E2100)</f>
        <v>NON FTLNON FTL</v>
      </c>
    </row>
    <row r="2101">
      <c t="s" s="7" r="A2101">
        <v>201</v>
      </c>
      <c s="7" r="B2101">
        <v>2128</v>
      </c>
      <c s="30" r="C2101">
        <v>26</v>
      </c>
      <c t="s" s="30" r="D2101">
        <v>106</v>
      </c>
      <c t="s" s="30" r="E2101">
        <v>4</v>
      </c>
      <c t="s" s="30" r="F2101">
        <v>4</v>
      </c>
      <c t="s" s="30" r="G2101">
        <v>274</v>
      </c>
      <c t="str" s="12" r="H2101">
        <f>HYPERLINK("http://sofifa.com/en/fifa13winter/player/145809-ali-al-habsi","A. Al-Habsi")</f>
        <v>A. Al-Habsi</v>
      </c>
      <c s="30" r="I2101">
        <v>79</v>
      </c>
      <c t="s" s="30" r="J2101">
        <v>106</v>
      </c>
      <c t="s" s="30" r="K2101">
        <v>188</v>
      </c>
      <c t="s" s="30" r="L2101">
        <v>158</v>
      </c>
      <c s="30" r="M2101">
        <v>30</v>
      </c>
      <c s="26" r="N2101">
        <v>5.1</v>
      </c>
      <c s="23" r="O2101">
        <v>0.025</v>
      </c>
      <c s="7" r="P2101"/>
      <c s="7" r="Q2101"/>
      <c s="7" r="R2101">
        <f>IF((P2101&gt;0),O2101,0)</f>
        <v>0</v>
      </c>
      <c t="str" r="S2101">
        <f>CONCATENATE(F2101,E2101)</f>
        <v>NON FTLNON FTL</v>
      </c>
    </row>
    <row r="2102">
      <c t="s" s="7" r="A2102">
        <v>201</v>
      </c>
      <c s="7" r="B2102">
        <v>2129</v>
      </c>
      <c s="30" r="C2102">
        <v>17</v>
      </c>
      <c t="s" s="30" r="D2102">
        <v>109</v>
      </c>
      <c t="s" s="30" r="E2102">
        <v>4</v>
      </c>
      <c t="s" s="30" r="F2102">
        <v>4</v>
      </c>
      <c t="s" s="30" r="G2102">
        <v>274</v>
      </c>
      <c t="str" s="12" r="H2102">
        <f>HYPERLINK("http://sofifa.com/en/fifa13winter/player/144981-emmerson-boyce","E. Boyce")</f>
        <v>E. Boyce</v>
      </c>
      <c s="30" r="I2102">
        <v>74</v>
      </c>
      <c t="s" s="30" r="J2102">
        <v>113</v>
      </c>
      <c t="s" s="30" r="K2102">
        <v>167</v>
      </c>
      <c t="s" s="30" r="L2102">
        <v>142</v>
      </c>
      <c s="30" r="M2102">
        <v>32</v>
      </c>
      <c s="26" r="N2102">
        <v>2.5</v>
      </c>
      <c s="23" r="O2102">
        <v>0.013</v>
      </c>
      <c s="7" r="P2102"/>
      <c s="7" r="Q2102"/>
      <c s="7" r="R2102">
        <f>IF((P2102&gt;0),O2102,0)</f>
        <v>0</v>
      </c>
      <c t="str" r="S2102">
        <f>CONCATENATE(F2102,E2102)</f>
        <v>NON FTLNON FTL</v>
      </c>
    </row>
    <row r="2103">
      <c t="s" s="7" r="A2103">
        <v>201</v>
      </c>
      <c s="7" r="B2103">
        <v>2130</v>
      </c>
      <c s="30" r="C2103">
        <v>5</v>
      </c>
      <c t="s" s="30" r="D2103">
        <v>112</v>
      </c>
      <c t="s" s="30" r="E2103">
        <v>4</v>
      </c>
      <c t="s" s="30" r="F2103">
        <v>4</v>
      </c>
      <c t="s" s="30" r="G2103">
        <v>274</v>
      </c>
      <c t="str" s="12" r="H2103">
        <f>HYPERLINK("http://sofifa.com/en/fifa13winter/player/145912-gary-caldwell","G. Caldwell")</f>
        <v>G. Caldwell</v>
      </c>
      <c s="30" r="I2103">
        <v>73</v>
      </c>
      <c t="s" s="30" r="J2103">
        <v>113</v>
      </c>
      <c t="s" s="30" r="K2103">
        <v>114</v>
      </c>
      <c t="s" s="30" r="L2103">
        <v>160</v>
      </c>
      <c s="30" r="M2103">
        <v>30</v>
      </c>
      <c s="26" r="N2103">
        <v>2.5</v>
      </c>
      <c s="23" r="O2103">
        <v>0.011</v>
      </c>
      <c s="7" r="P2103"/>
      <c s="7" r="Q2103"/>
      <c s="7" r="R2103">
        <f>IF((P2103&gt;0),O2103,0)</f>
        <v>0</v>
      </c>
      <c t="str" r="S2103">
        <f>CONCATENATE(F2103,E2103)</f>
        <v>NON FTLNON FTL</v>
      </c>
    </row>
    <row r="2104">
      <c t="s" s="7" r="A2104">
        <v>201</v>
      </c>
      <c s="7" r="B2104">
        <v>2131</v>
      </c>
      <c s="30" r="C2104">
        <v>31</v>
      </c>
      <c t="s" s="30" r="D2104">
        <v>116</v>
      </c>
      <c t="s" s="30" r="E2104">
        <v>4</v>
      </c>
      <c t="s" s="30" r="F2104">
        <v>4</v>
      </c>
      <c t="s" s="30" r="G2104">
        <v>274</v>
      </c>
      <c t="str" s="12" r="H2104">
        <f>HYPERLINK("http://sofifa.com/en/fifa13winter/player/146297-maynor-figueroa","M. Figueroa")</f>
        <v>M. Figueroa</v>
      </c>
      <c s="30" r="I2104">
        <v>76</v>
      </c>
      <c t="s" s="30" r="J2104">
        <v>113</v>
      </c>
      <c t="s" s="30" r="K2104">
        <v>114</v>
      </c>
      <c t="s" s="30" r="L2104">
        <v>179</v>
      </c>
      <c s="30" r="M2104">
        <v>29</v>
      </c>
      <c s="26" r="N2104">
        <v>4.4</v>
      </c>
      <c s="23" r="O2104">
        <v>0.016</v>
      </c>
      <c s="7" r="P2104"/>
      <c s="7" r="Q2104"/>
      <c s="7" r="R2104">
        <f>IF((P2104&gt;0),O2104,0)</f>
        <v>0</v>
      </c>
      <c t="str" r="S2104">
        <f>CONCATENATE(F2104,E2104)</f>
        <v>NON FTLNON FTL</v>
      </c>
    </row>
    <row r="2105">
      <c t="s" s="7" r="A2105">
        <v>201</v>
      </c>
      <c s="7" r="B2105">
        <v>2132</v>
      </c>
      <c s="30" r="C2105">
        <v>22</v>
      </c>
      <c t="s" s="30" r="D2105">
        <v>117</v>
      </c>
      <c t="s" s="30" r="E2105">
        <v>4</v>
      </c>
      <c t="s" s="30" r="F2105">
        <v>4</v>
      </c>
      <c t="s" s="30" r="G2105">
        <v>274</v>
      </c>
      <c t="str" s="12" r="H2105">
        <f>HYPERLINK("http://sofifa.com/en/fifa13winter/player/146693-jean-beausejour","J. Beausejour")</f>
        <v>J. Beausejour</v>
      </c>
      <c s="30" r="I2105">
        <v>75</v>
      </c>
      <c t="s" s="30" r="J2105">
        <v>128</v>
      </c>
      <c t="s" s="30" r="K2105">
        <v>150</v>
      </c>
      <c t="s" s="30" r="L2105">
        <v>153</v>
      </c>
      <c s="30" r="M2105">
        <v>28</v>
      </c>
      <c s="26" r="N2105">
        <v>4.1</v>
      </c>
      <c s="23" r="O2105">
        <v>0.013</v>
      </c>
      <c s="7" r="P2105"/>
      <c s="7" r="Q2105"/>
      <c s="7" r="R2105">
        <f>IF((P2105&gt;0),O2105,0)</f>
        <v>0</v>
      </c>
      <c t="str" r="S2105">
        <f>CONCATENATE(F2105,E2105)</f>
        <v>NON FTLNON FTL</v>
      </c>
    </row>
    <row r="2106">
      <c t="s" s="7" r="A2106">
        <v>201</v>
      </c>
      <c s="7" r="B2106">
        <v>2133</v>
      </c>
      <c s="30" r="C2106">
        <v>8</v>
      </c>
      <c t="s" s="30" r="D2106">
        <v>123</v>
      </c>
      <c t="s" s="30" r="E2106">
        <v>4</v>
      </c>
      <c t="s" s="30" r="F2106">
        <v>4</v>
      </c>
      <c t="s" s="30" r="G2106">
        <v>274</v>
      </c>
      <c t="str" s="12" r="H2106">
        <f>HYPERLINK("http://sofifa.com/en/fifa13winter/player/147096-ben-watson","B. Watson")</f>
        <v>B. Watson</v>
      </c>
      <c s="30" r="I2106">
        <v>72</v>
      </c>
      <c t="s" s="30" r="J2106">
        <v>124</v>
      </c>
      <c t="s" s="30" r="K2106">
        <v>118</v>
      </c>
      <c t="s" s="30" r="L2106">
        <v>111</v>
      </c>
      <c s="30" r="M2106">
        <v>27</v>
      </c>
      <c s="26" r="N2106">
        <v>2.5</v>
      </c>
      <c s="23" r="O2106">
        <v>0.009</v>
      </c>
      <c s="7" r="P2106"/>
      <c s="7" r="Q2106"/>
      <c s="7" r="R2106">
        <f>IF((P2106&gt;0),O2106,0)</f>
        <v>0</v>
      </c>
      <c t="str" r="S2106">
        <f>CONCATENATE(F2106,E2106)</f>
        <v>NON FTLNON FTL</v>
      </c>
    </row>
    <row r="2107">
      <c t="s" s="7" r="A2107">
        <v>201</v>
      </c>
      <c s="7" r="B2107">
        <v>2134</v>
      </c>
      <c s="30" r="C2107">
        <v>16</v>
      </c>
      <c t="s" s="30" r="D2107">
        <v>126</v>
      </c>
      <c t="s" s="30" r="E2107">
        <v>4</v>
      </c>
      <c t="s" s="30" r="F2107">
        <v>4</v>
      </c>
      <c t="s" s="30" r="G2107">
        <v>274</v>
      </c>
      <c t="str" s="12" r="H2107">
        <f>HYPERLINK("http://sofifa.com/en/fifa13winter/player/147916-james-mcarthur","J. McArthur")</f>
        <v>J. McArthur</v>
      </c>
      <c s="30" r="I2107">
        <v>70</v>
      </c>
      <c t="s" s="30" r="J2107">
        <v>124</v>
      </c>
      <c t="s" s="30" r="K2107">
        <v>118</v>
      </c>
      <c t="s" s="30" r="L2107">
        <v>141</v>
      </c>
      <c s="30" r="M2107">
        <v>24</v>
      </c>
      <c s="26" r="N2107">
        <v>1.9</v>
      </c>
      <c s="23" r="O2107">
        <v>0.007</v>
      </c>
      <c s="7" r="P2107"/>
      <c s="7" r="Q2107"/>
      <c s="7" r="R2107">
        <f>IF((P2107&gt;0),O2107,0)</f>
        <v>0</v>
      </c>
      <c t="str" r="S2107">
        <f>CONCATENATE(F2107,E2107)</f>
        <v>NON FTLNON FTL</v>
      </c>
    </row>
    <row r="2108">
      <c t="s" s="7" r="A2108">
        <v>201</v>
      </c>
      <c s="7" r="B2108">
        <v>2135</v>
      </c>
      <c s="30" r="C2108">
        <v>4</v>
      </c>
      <c t="s" s="30" r="D2108">
        <v>162</v>
      </c>
      <c t="s" s="30" r="E2108">
        <v>4</v>
      </c>
      <c t="s" s="30" r="F2108">
        <v>4</v>
      </c>
      <c t="s" s="30" r="G2108">
        <v>274</v>
      </c>
      <c t="str" s="12" r="H2108">
        <f>HYPERLINK("http://sofifa.com/en/fifa13winter/player/149048-james-mccarthy","J. McCarthy")</f>
        <v>J. McCarthy</v>
      </c>
      <c s="30" r="I2108">
        <v>75</v>
      </c>
      <c t="s" s="30" r="J2108">
        <v>124</v>
      </c>
      <c t="s" s="30" r="K2108">
        <v>114</v>
      </c>
      <c t="s" s="30" r="L2108">
        <v>146</v>
      </c>
      <c s="30" r="M2108">
        <v>21</v>
      </c>
      <c s="26" r="N2108">
        <v>4.5</v>
      </c>
      <c s="23" r="O2108">
        <v>0.011</v>
      </c>
      <c s="7" r="P2108"/>
      <c s="7" r="Q2108"/>
      <c s="7" r="R2108">
        <f>IF((P2108&gt;0),O2108,0)</f>
        <v>0</v>
      </c>
      <c t="str" r="S2108">
        <f>CONCATENATE(F2108,E2108)</f>
        <v>NON FTLNON FTL</v>
      </c>
    </row>
    <row r="2109">
      <c t="s" s="7" r="A2109">
        <v>201</v>
      </c>
      <c s="7" r="B2109">
        <v>2136</v>
      </c>
      <c s="30" r="C2109">
        <v>14</v>
      </c>
      <c t="s" s="30" r="D2109">
        <v>157</v>
      </c>
      <c t="s" s="30" r="E2109">
        <v>4</v>
      </c>
      <c t="s" s="30" r="F2109">
        <v>4</v>
      </c>
      <c t="s" s="30" r="G2109">
        <v>274</v>
      </c>
      <c t="str" s="12" r="H2109">
        <f>HYPERLINK("http://sofifa.com/en/fifa13winter/player/147050-jordi-gomez-garcia-penche","Jordi Gómez")</f>
        <v>Jordi Gómez</v>
      </c>
      <c s="30" r="I2109">
        <v>72</v>
      </c>
      <c t="s" s="30" r="J2109">
        <v>162</v>
      </c>
      <c t="s" s="30" r="K2109">
        <v>118</v>
      </c>
      <c t="s" s="30" r="L2109">
        <v>160</v>
      </c>
      <c s="30" r="M2109">
        <v>27</v>
      </c>
      <c s="26" r="N2109">
        <v>2.9</v>
      </c>
      <c s="23" r="O2109">
        <v>0.009</v>
      </c>
      <c s="7" r="P2109"/>
      <c s="7" r="Q2109"/>
      <c s="7" r="R2109">
        <f>IF((P2109&gt;0),O2109,0)</f>
        <v>0</v>
      </c>
      <c t="str" r="S2109">
        <f>CONCATENATE(F2109,E2109)</f>
        <v>NON FTLNON FTL</v>
      </c>
    </row>
    <row r="2110">
      <c t="s" s="7" r="A2110">
        <v>201</v>
      </c>
      <c s="7" r="B2110">
        <v>2137</v>
      </c>
      <c s="30" r="C2110">
        <v>2</v>
      </c>
      <c t="s" s="30" r="D2110">
        <v>129</v>
      </c>
      <c t="s" s="30" r="E2110">
        <v>4</v>
      </c>
      <c t="s" s="30" r="F2110">
        <v>4</v>
      </c>
      <c t="s" s="30" r="G2110">
        <v>274</v>
      </c>
      <c t="str" s="12" r="H2110">
        <f>HYPERLINK("http://sofifa.com/en/fifa13winter/player/146490-arouna-kone","A. Koné")</f>
        <v>A. Koné</v>
      </c>
      <c s="30" r="I2110">
        <v>78</v>
      </c>
      <c t="s" s="30" r="J2110">
        <v>129</v>
      </c>
      <c t="s" s="30" r="K2110">
        <v>143</v>
      </c>
      <c t="s" s="30" r="L2110">
        <v>183</v>
      </c>
      <c s="30" r="M2110">
        <v>28</v>
      </c>
      <c s="26" r="N2110">
        <v>7.3</v>
      </c>
      <c s="23" r="O2110">
        <v>0.02</v>
      </c>
      <c s="7" r="P2110"/>
      <c s="7" r="Q2110"/>
      <c s="7" r="R2110">
        <f>IF((P2110&gt;0),O2110,0)</f>
        <v>0</v>
      </c>
      <c t="str" r="S2110">
        <f>CONCATENATE(F2110,E2110)</f>
        <v>NON FTLNON FTL</v>
      </c>
    </row>
    <row r="2111">
      <c t="s" s="7" r="A2111">
        <v>201</v>
      </c>
      <c s="7" r="B2111">
        <v>2138</v>
      </c>
      <c s="30" r="C2111">
        <v>10</v>
      </c>
      <c t="s" s="30" r="D2111">
        <v>170</v>
      </c>
      <c t="s" s="30" r="E2111">
        <v>4</v>
      </c>
      <c t="s" s="30" r="F2111">
        <v>4</v>
      </c>
      <c t="s" s="30" r="G2111">
        <v>274</v>
      </c>
      <c t="str" s="12" r="H2111">
        <f>HYPERLINK("http://sofifa.com/en/fifa13winter/player/146199-shaun-maloney","S. Maloney")</f>
        <v>S. Maloney</v>
      </c>
      <c s="30" r="I2111">
        <v>74</v>
      </c>
      <c t="s" s="30" r="J2111">
        <v>162</v>
      </c>
      <c t="s" s="30" r="K2111">
        <v>121</v>
      </c>
      <c t="s" s="30" r="L2111">
        <v>111</v>
      </c>
      <c s="30" r="M2111">
        <v>29</v>
      </c>
      <c s="26" r="N2111">
        <v>3.5</v>
      </c>
      <c s="23" r="O2111">
        <v>0.012</v>
      </c>
      <c s="7" r="P2111"/>
      <c s="7" r="Q2111"/>
      <c s="7" r="R2111">
        <f>IF((P2111&gt;0),O2111,0)</f>
        <v>0</v>
      </c>
      <c t="str" r="S2111">
        <f>CONCATENATE(F2111,E2111)</f>
        <v>NON FTLNON FTL</v>
      </c>
    </row>
    <row r="2112">
      <c t="s" s="7" r="A2112">
        <v>201</v>
      </c>
      <c s="7" r="B2112">
        <v>2139</v>
      </c>
      <c s="30" r="C2112">
        <v>25</v>
      </c>
      <c t="s" s="30" r="D2112">
        <v>136</v>
      </c>
      <c t="s" s="30" r="E2112">
        <v>4</v>
      </c>
      <c t="s" s="30" r="F2112">
        <v>4</v>
      </c>
      <c t="s" s="30" r="G2112">
        <v>274</v>
      </c>
      <c t="str" s="12" r="H2112">
        <f>HYPERLINK("http://sofifa.com/en/fifa13winter/player/149543-roman-golobart","R. Golobart")</f>
        <v>R. Golobart</v>
      </c>
      <c s="30" r="I2112">
        <v>65</v>
      </c>
      <c t="s" s="30" r="J2112">
        <v>113</v>
      </c>
      <c t="s" s="30" r="K2112">
        <v>165</v>
      </c>
      <c t="s" s="30" r="L2112">
        <v>192</v>
      </c>
      <c s="30" r="M2112">
        <v>20</v>
      </c>
      <c s="26" r="N2112">
        <v>1.1</v>
      </c>
      <c s="23" r="O2112">
        <v>0.004</v>
      </c>
      <c s="7" r="P2112"/>
      <c s="7" r="Q2112"/>
      <c s="7" r="R2112">
        <f>IF((P2112&gt;0),O2112,0)</f>
        <v>0</v>
      </c>
      <c t="str" r="S2112">
        <f>CONCATENATE(F2112,E2112)</f>
        <v>NON FTLNON FTL</v>
      </c>
    </row>
    <row r="2113">
      <c t="s" s="7" r="A2113">
        <v>201</v>
      </c>
      <c s="7" r="B2113">
        <v>2140</v>
      </c>
      <c s="30" r="C2113">
        <v>1</v>
      </c>
      <c t="s" s="30" r="D2113">
        <v>136</v>
      </c>
      <c t="s" s="30" r="E2113">
        <v>4</v>
      </c>
      <c t="s" s="30" r="F2113">
        <v>4</v>
      </c>
      <c t="s" s="30" r="G2113">
        <v>274</v>
      </c>
      <c t="str" s="12" r="H2113">
        <f>HYPERLINK("http://sofifa.com/en/fifa13winter/player/148900-joel-robles-blazquez","Joel")</f>
        <v>Joel</v>
      </c>
      <c s="30" r="I2113">
        <v>73</v>
      </c>
      <c t="s" s="30" r="J2113">
        <v>106</v>
      </c>
      <c t="s" s="30" r="K2113">
        <v>176</v>
      </c>
      <c t="s" s="30" r="L2113">
        <v>178</v>
      </c>
      <c s="30" r="M2113">
        <v>22</v>
      </c>
      <c s="26" r="N2113">
        <v>2.7</v>
      </c>
      <c s="23" r="O2113">
        <v>0.009</v>
      </c>
      <c s="7" r="P2113"/>
      <c s="7" r="Q2113"/>
      <c s="7" r="R2113">
        <f>IF((P2113&gt;0),O2113,0)</f>
        <v>0</v>
      </c>
      <c t="str" r="S2113">
        <f>CONCATENATE(F2113,E2113)</f>
        <v>NON FTLNON FTL</v>
      </c>
    </row>
    <row r="2114">
      <c t="s" s="7" r="A2114">
        <v>201</v>
      </c>
      <c s="7" r="B2114">
        <v>2141</v>
      </c>
      <c s="30" r="C2114">
        <v>44</v>
      </c>
      <c t="s" s="30" r="D2114">
        <v>136</v>
      </c>
      <c t="s" s="30" r="E2114">
        <v>4</v>
      </c>
      <c t="s" s="30" r="F2114">
        <v>4</v>
      </c>
      <c t="s" s="30" r="G2114">
        <v>274</v>
      </c>
      <c t="str" s="12" r="H2114">
        <f>HYPERLINK("http://sofifa.com/en/fifa13winter/player/149854-eduard-campabadal-claros","Campabadal")</f>
        <v>Campabadal</v>
      </c>
      <c s="30" r="I2114">
        <v>59</v>
      </c>
      <c t="s" s="30" r="J2114">
        <v>113</v>
      </c>
      <c t="s" s="30" r="K2114">
        <v>159</v>
      </c>
      <c t="s" s="30" r="L2114">
        <v>146</v>
      </c>
      <c s="30" r="M2114">
        <v>19</v>
      </c>
      <c s="26" r="N2114">
        <v>0.4</v>
      </c>
      <c s="23" r="O2114">
        <v>0.002</v>
      </c>
      <c s="7" r="P2114"/>
      <c s="7" r="Q2114"/>
      <c s="7" r="R2114">
        <f>IF((P2114&gt;0),O2114,0)</f>
        <v>0</v>
      </c>
      <c t="str" r="S2114">
        <f>CONCATENATE(F2114,E2114)</f>
        <v>NON FTLNON FTL</v>
      </c>
    </row>
    <row r="2115">
      <c t="s" s="7" r="A2115">
        <v>201</v>
      </c>
      <c s="7" r="B2115">
        <v>2142</v>
      </c>
      <c s="30" r="C2115">
        <v>29</v>
      </c>
      <c t="s" s="30" r="D2115">
        <v>136</v>
      </c>
      <c t="s" s="30" r="E2115">
        <v>4</v>
      </c>
      <c t="s" s="30" r="F2115">
        <v>4</v>
      </c>
      <c t="s" s="30" r="G2115">
        <v>274</v>
      </c>
      <c t="str" s="12" r="H2115">
        <f>HYPERLINK("http://sofifa.com/en/fifa13winter/player/149597-nouha-dicko","N. Dicko")</f>
        <v>N. Dicko</v>
      </c>
      <c s="30" r="I2115">
        <v>66</v>
      </c>
      <c t="s" s="30" r="J2115">
        <v>157</v>
      </c>
      <c t="s" s="30" r="K2115">
        <v>130</v>
      </c>
      <c t="s" s="30" r="L2115">
        <v>160</v>
      </c>
      <c s="30" r="M2115">
        <v>20</v>
      </c>
      <c s="26" r="N2115">
        <v>1.4</v>
      </c>
      <c s="23" r="O2115">
        <v>0.004</v>
      </c>
      <c s="7" r="P2115"/>
      <c s="7" r="Q2115"/>
      <c s="7" r="R2115">
        <f>IF((P2115&gt;0),O2115,0)</f>
        <v>0</v>
      </c>
      <c t="str" r="S2115">
        <f>CONCATENATE(F2115,E2115)</f>
        <v>NON FTLNON FTL</v>
      </c>
    </row>
    <row r="2116">
      <c t="s" s="7" r="A2116">
        <v>201</v>
      </c>
      <c s="7" r="B2116">
        <v>2143</v>
      </c>
      <c s="30" r="C2116">
        <v>27</v>
      </c>
      <c t="s" s="30" r="D2116">
        <v>136</v>
      </c>
      <c t="s" s="30" r="E2116">
        <v>4</v>
      </c>
      <c t="s" s="30" r="F2116">
        <v>4</v>
      </c>
      <c t="s" s="30" r="G2116">
        <v>274</v>
      </c>
      <c t="str" s="12" r="H2116">
        <f>HYPERLINK("http://sofifa.com/en/fifa13winter/player/149125-jordan-mustoe","J. Mustoe")</f>
        <v>J. Mustoe</v>
      </c>
      <c s="30" r="I2116">
        <v>55</v>
      </c>
      <c t="s" s="30" r="J2116">
        <v>117</v>
      </c>
      <c t="s" s="30" r="K2116">
        <v>114</v>
      </c>
      <c t="s" s="30" r="L2116">
        <v>151</v>
      </c>
      <c s="30" r="M2116">
        <v>21</v>
      </c>
      <c s="26" r="N2116">
        <v>0.1</v>
      </c>
      <c s="23" r="O2116">
        <v>0.002</v>
      </c>
      <c s="7" r="P2116"/>
      <c s="7" r="Q2116"/>
      <c s="7" r="R2116">
        <f>IF((P2116&gt;0),O2116,0)</f>
        <v>0</v>
      </c>
      <c t="str" r="S2116">
        <f>CONCATENATE(F2116,E2116)</f>
        <v>NON FTLNON FTL</v>
      </c>
    </row>
    <row r="2117">
      <c t="s" s="7" r="A2117">
        <v>201</v>
      </c>
      <c s="7" r="B2117">
        <v>2144</v>
      </c>
      <c s="30" r="C2117">
        <v>20</v>
      </c>
      <c t="s" s="30" r="D2117">
        <v>136</v>
      </c>
      <c t="s" s="30" r="E2117">
        <v>4</v>
      </c>
      <c t="s" s="30" r="F2117">
        <v>4</v>
      </c>
      <c t="s" s="30" r="G2117">
        <v>274</v>
      </c>
      <c t="str" s="12" r="H2117">
        <f>HYPERLINK("http://sofifa.com/en/fifa13winter/player/149914-fraser-fyvie","F. Fyvie")</f>
        <v>F. Fyvie</v>
      </c>
      <c s="30" r="I2117">
        <v>62</v>
      </c>
      <c t="s" s="30" r="J2117">
        <v>124</v>
      </c>
      <c t="s" s="30" r="K2117">
        <v>187</v>
      </c>
      <c t="s" s="30" r="L2117">
        <v>127</v>
      </c>
      <c s="30" r="M2117">
        <v>19</v>
      </c>
      <c s="26" r="N2117">
        <v>0.8</v>
      </c>
      <c s="23" r="O2117">
        <v>0.003</v>
      </c>
      <c s="7" r="P2117"/>
      <c s="7" r="Q2117"/>
      <c s="7" r="R2117">
        <f>IF((P2117&gt;0),O2117,0)</f>
        <v>0</v>
      </c>
      <c t="str" r="S2117">
        <f>CONCATENATE(F2117,E2117)</f>
        <v>NON FTLNON FTL</v>
      </c>
    </row>
    <row r="2118">
      <c t="s" s="7" r="A2118">
        <v>201</v>
      </c>
      <c s="7" r="B2118">
        <v>2145</v>
      </c>
      <c s="30" r="C2118">
        <v>30</v>
      </c>
      <c t="s" s="30" r="D2118">
        <v>136</v>
      </c>
      <c t="s" s="30" r="E2118">
        <v>4</v>
      </c>
      <c t="s" s="30" r="F2118">
        <v>4</v>
      </c>
      <c t="s" s="30" r="G2118">
        <v>274</v>
      </c>
      <c t="str" s="12" r="H2118">
        <f>HYPERLINK("http://sofifa.com/en/fifa13winter/player/149110-rob-kiernan","R. Kiernan")</f>
        <v>R. Kiernan</v>
      </c>
      <c s="30" r="I2118">
        <v>58</v>
      </c>
      <c t="s" s="30" r="J2118">
        <v>113</v>
      </c>
      <c t="s" s="30" r="K2118">
        <v>173</v>
      </c>
      <c t="s" s="30" r="L2118">
        <v>138</v>
      </c>
      <c s="30" r="M2118">
        <v>21</v>
      </c>
      <c s="26" r="N2118">
        <v>0.3</v>
      </c>
      <c s="23" r="O2118">
        <v>0.002</v>
      </c>
      <c s="7" r="P2118"/>
      <c s="7" r="Q2118"/>
      <c s="7" r="R2118">
        <f>IF((P2118&gt;0),O2118,0)</f>
        <v>0</v>
      </c>
      <c t="str" r="S2118">
        <f>CONCATENATE(F2118,E2118)</f>
        <v>NON FTLNON FTL</v>
      </c>
    </row>
    <row r="2119">
      <c t="s" s="7" r="A2119">
        <v>201</v>
      </c>
      <c s="7" r="B2119">
        <v>2146</v>
      </c>
      <c s="30" r="C2119">
        <v>15</v>
      </c>
      <c t="s" s="30" r="D2119">
        <v>136</v>
      </c>
      <c t="s" s="30" r="E2119">
        <v>4</v>
      </c>
      <c t="s" s="30" r="F2119">
        <v>4</v>
      </c>
      <c t="s" s="30" r="G2119">
        <v>274</v>
      </c>
      <c t="str" s="12" r="H2119">
        <f>HYPERLINK("http://sofifa.com/en/fifa13winter/player/149212-callum-mcmanaman","C. McManaman")</f>
        <v>C. McManaman</v>
      </c>
      <c s="30" r="I2119">
        <v>71</v>
      </c>
      <c t="s" s="30" r="J2119">
        <v>157</v>
      </c>
      <c t="s" s="30" r="K2119">
        <v>182</v>
      </c>
      <c t="s" s="30" r="L2119">
        <v>142</v>
      </c>
      <c s="30" r="M2119">
        <v>21</v>
      </c>
      <c s="26" r="N2119">
        <v>2.7</v>
      </c>
      <c s="23" r="O2119">
        <v>0.007</v>
      </c>
      <c s="7" r="P2119"/>
      <c s="7" r="Q2119"/>
      <c s="7" r="R2119">
        <f>IF((P2119&gt;0),O2119,0)</f>
        <v>0</v>
      </c>
      <c t="str" r="S2119">
        <f>CONCATENATE(F2119,E2119)</f>
        <v>NON FTLNON FTL</v>
      </c>
    </row>
    <row r="2120">
      <c t="s" s="7" r="A2120">
        <v>201</v>
      </c>
      <c s="7" r="B2120">
        <v>2147</v>
      </c>
      <c s="30" r="C2120">
        <v>18</v>
      </c>
      <c t="s" s="30" r="D2120">
        <v>136</v>
      </c>
      <c t="s" s="30" r="E2120">
        <v>4</v>
      </c>
      <c t="s" s="30" r="F2120">
        <v>4</v>
      </c>
      <c t="s" s="30" r="G2120">
        <v>274</v>
      </c>
      <c t="str" s="12" r="H2120">
        <f>HYPERLINK("http://sofifa.com/en/fifa13winter/player/147569-roger-espinoza","R. Espinoza")</f>
        <v>R. Espinoza</v>
      </c>
      <c s="30" r="I2120">
        <v>73</v>
      </c>
      <c t="s" s="30" r="J2120">
        <v>124</v>
      </c>
      <c t="s" s="30" r="K2120">
        <v>114</v>
      </c>
      <c t="s" s="30" r="L2120">
        <v>119</v>
      </c>
      <c s="30" r="M2120">
        <v>25</v>
      </c>
      <c s="26" r="N2120">
        <v>3</v>
      </c>
      <c s="23" r="O2120">
        <v>0.01</v>
      </c>
      <c s="7" r="P2120"/>
      <c s="7" r="Q2120"/>
      <c s="7" r="R2120">
        <f>IF((P2120&gt;0),O2120,0)</f>
        <v>0</v>
      </c>
      <c t="str" r="S2120">
        <f>CONCATENATE(F2120,E2120)</f>
        <v>NON FTLNON FTL</v>
      </c>
    </row>
    <row r="2121">
      <c t="s" s="7" r="A2121">
        <v>201</v>
      </c>
      <c s="7" r="B2121">
        <v>2148</v>
      </c>
      <c s="30" r="C2121">
        <v>21</v>
      </c>
      <c t="s" s="30" r="D2121">
        <v>136</v>
      </c>
      <c t="s" s="30" r="E2121">
        <v>4</v>
      </c>
      <c t="s" s="30" r="F2121">
        <v>4</v>
      </c>
      <c t="s" s="30" r="G2121">
        <v>274</v>
      </c>
      <c t="str" s="12" r="H2121">
        <f>HYPERLINK("http://sofifa.com/en/fifa13winter/player/146839-ivan-ramis-barrios","Iván Ramis")</f>
        <v>Iván Ramis</v>
      </c>
      <c s="30" r="I2121">
        <v>75</v>
      </c>
      <c t="s" s="30" r="J2121">
        <v>113</v>
      </c>
      <c t="s" s="30" r="K2121">
        <v>143</v>
      </c>
      <c t="s" s="30" r="L2121">
        <v>193</v>
      </c>
      <c s="30" r="M2121">
        <v>27</v>
      </c>
      <c s="26" r="N2121">
        <v>4</v>
      </c>
      <c s="23" r="O2121">
        <v>0.013</v>
      </c>
      <c s="7" r="P2121"/>
      <c s="7" r="Q2121"/>
      <c s="7" r="R2121">
        <f>IF((P2121&gt;0),O2121,0)</f>
        <v>0</v>
      </c>
      <c t="str" r="S2121">
        <f>CONCATENATE(F2121,E2121)</f>
        <v>NON FTLNON FTL</v>
      </c>
    </row>
    <row r="2122">
      <c t="s" s="7" r="A2122">
        <v>201</v>
      </c>
      <c s="7" r="B2122">
        <v>2149</v>
      </c>
      <c s="30" r="C2122">
        <v>3</v>
      </c>
      <c t="s" s="30" r="D2122">
        <v>136</v>
      </c>
      <c t="s" s="30" r="E2122">
        <v>4</v>
      </c>
      <c t="s" s="30" r="F2122">
        <v>4</v>
      </c>
      <c t="s" s="30" r="G2122">
        <v>274</v>
      </c>
      <c t="str" s="12" r="H2122">
        <f>HYPERLINK("http://sofifa.com/en/fifa13winter/player/146021-antolin-alcaraz","A. Alcaraz")</f>
        <v>A. Alcaraz</v>
      </c>
      <c s="30" r="I2122">
        <v>74</v>
      </c>
      <c t="s" s="30" r="J2122">
        <v>113</v>
      </c>
      <c t="s" s="30" r="K2122">
        <v>155</v>
      </c>
      <c t="s" s="30" r="L2122">
        <v>153</v>
      </c>
      <c s="30" r="M2122">
        <v>30</v>
      </c>
      <c s="26" r="N2122">
        <v>2.8</v>
      </c>
      <c s="23" r="O2122">
        <v>0.012</v>
      </c>
      <c s="7" r="P2122"/>
      <c s="7" r="Q2122"/>
      <c s="7" r="R2122">
        <f>IF((P2122&gt;0),O2122,0)</f>
        <v>0</v>
      </c>
      <c t="str" r="S2122">
        <f>CONCATENATE(F2122,E2122)</f>
        <v>NON FTLNON FTL</v>
      </c>
    </row>
    <row r="2123">
      <c t="s" s="7" r="A2123">
        <v>201</v>
      </c>
      <c s="7" r="B2123">
        <v>2150</v>
      </c>
      <c s="30" r="C2123">
        <v>12</v>
      </c>
      <c t="s" s="30" r="D2123">
        <v>136</v>
      </c>
      <c t="s" s="30" r="E2123">
        <v>4</v>
      </c>
      <c t="s" s="30" r="F2123">
        <v>4</v>
      </c>
      <c t="s" s="30" r="G2123">
        <v>274</v>
      </c>
      <c t="str" s="12" r="H2123">
        <f>HYPERLINK("http://sofifa.com/en/fifa13winter/player/142217-mike-pollitt","M. Pollitt")</f>
        <v>M. Pollitt</v>
      </c>
      <c s="30" r="I2123">
        <v>65</v>
      </c>
      <c t="s" s="30" r="J2123">
        <v>106</v>
      </c>
      <c t="s" s="30" r="K2123">
        <v>107</v>
      </c>
      <c t="s" s="30" r="L2123">
        <v>175</v>
      </c>
      <c s="30" r="M2123">
        <v>40</v>
      </c>
      <c s="26" r="N2123">
        <v>0.3</v>
      </c>
      <c s="23" r="O2123">
        <v>0.006</v>
      </c>
      <c s="7" r="P2123"/>
      <c s="7" r="Q2123"/>
      <c s="7" r="R2123">
        <f>IF((P2123&gt;0),O2123,0)</f>
        <v>0</v>
      </c>
      <c t="str" r="S2123">
        <f>CONCATENATE(F2123,E2123)</f>
        <v>NON FTLNON FTL</v>
      </c>
    </row>
    <row r="2124">
      <c t="s" s="7" r="A2124">
        <v>201</v>
      </c>
      <c s="7" r="B2124">
        <v>2151</v>
      </c>
      <c s="30" r="C2124">
        <v>40</v>
      </c>
      <c t="s" s="30" r="D2124">
        <v>147</v>
      </c>
      <c t="s" s="30" r="E2124">
        <v>4</v>
      </c>
      <c t="s" s="30" r="F2124">
        <v>4</v>
      </c>
      <c t="s" s="30" r="G2124">
        <v>274</v>
      </c>
      <c t="str" s="12" r="H2124">
        <f>HYPERLINK("http://sofifa.com/en/fifa13winter/player/149725-steven-boothman","S. Boothman")</f>
        <v>S. Boothman</v>
      </c>
      <c s="30" r="I2124">
        <v>57</v>
      </c>
      <c t="s" s="30" r="J2124">
        <v>117</v>
      </c>
      <c t="s" s="30" r="K2124">
        <v>121</v>
      </c>
      <c t="s" s="30" r="L2124">
        <v>122</v>
      </c>
      <c s="30" r="M2124">
        <v>19</v>
      </c>
      <c s="26" r="N2124">
        <v>0.2</v>
      </c>
      <c s="23" r="O2124">
        <v>0.002</v>
      </c>
      <c s="7" r="P2124"/>
      <c s="7" r="Q2124"/>
      <c s="7" r="R2124">
        <f>IF((P2124&gt;0),O2124,0)</f>
        <v>0</v>
      </c>
      <c t="str" r="S2124">
        <f>CONCATENATE(F2124,E2124)</f>
        <v>NON FTLNON FTL</v>
      </c>
    </row>
    <row r="2125">
      <c t="s" s="7" r="A2125">
        <v>201</v>
      </c>
      <c s="7" r="B2125">
        <v>2152</v>
      </c>
      <c s="30" r="C2125">
        <v>36</v>
      </c>
      <c t="s" s="30" r="D2125">
        <v>147</v>
      </c>
      <c t="s" s="30" r="E2125">
        <v>4</v>
      </c>
      <c t="s" s="30" r="F2125">
        <v>4</v>
      </c>
      <c t="s" s="30" r="G2125">
        <v>274</v>
      </c>
      <c t="str" s="12" r="H2125">
        <f>HYPERLINK("http://sofifa.com/en/fifa13winter/player/150126-rakish-bingham","R. Bingham")</f>
        <v>R. Bingham</v>
      </c>
      <c s="30" r="I2125">
        <v>59</v>
      </c>
      <c t="s" s="30" r="J2125">
        <v>157</v>
      </c>
      <c t="s" s="30" r="K2125">
        <v>114</v>
      </c>
      <c t="s" s="30" r="L2125">
        <v>151</v>
      </c>
      <c s="30" r="M2125">
        <v>18</v>
      </c>
      <c s="26" r="N2125">
        <v>0.5</v>
      </c>
      <c s="23" r="O2125">
        <v>0.002</v>
      </c>
      <c s="7" r="P2125"/>
      <c s="7" r="Q2125"/>
      <c s="7" r="R2125">
        <f>IF((P2125&gt;0),O2125,0)</f>
        <v>0</v>
      </c>
      <c t="str" r="S2125">
        <f>CONCATENATE(F2125,E2125)</f>
        <v>NON FTLNON FTL</v>
      </c>
    </row>
    <row r="2126">
      <c t="s" s="7" r="A2126">
        <v>201</v>
      </c>
      <c s="7" r="B2126">
        <v>2153</v>
      </c>
      <c s="30" r="C2126">
        <v>47</v>
      </c>
      <c t="s" s="30" r="D2126">
        <v>147</v>
      </c>
      <c t="s" s="30" r="E2126">
        <v>4</v>
      </c>
      <c t="s" s="30" r="F2126">
        <v>4</v>
      </c>
      <c t="s" s="30" r="G2126">
        <v>274</v>
      </c>
      <c t="str" s="12" r="H2126">
        <f>HYPERLINK("http://sofifa.com/en/fifa13winter/player/149898-jeshua-angoy","J. Angoy")</f>
        <v>J. Angoy</v>
      </c>
      <c s="30" r="I2126">
        <v>57</v>
      </c>
      <c t="s" s="30" r="J2126">
        <v>117</v>
      </c>
      <c t="s" s="30" r="K2126">
        <v>114</v>
      </c>
      <c t="s" s="30" r="L2126">
        <v>146</v>
      </c>
      <c s="30" r="M2126">
        <v>19</v>
      </c>
      <c s="26" r="N2126">
        <v>0.2</v>
      </c>
      <c s="23" r="O2126">
        <v>0.002</v>
      </c>
      <c s="7" r="P2126"/>
      <c s="7" r="Q2126"/>
      <c s="7" r="R2126">
        <f>IF((P2126&gt;0),O2126,0)</f>
        <v>0</v>
      </c>
      <c t="str" r="S2126">
        <f>CONCATENATE(F2126,E2126)</f>
        <v>NON FTLNON FTL</v>
      </c>
    </row>
    <row r="2127">
      <c t="s" s="7" r="A2127">
        <v>201</v>
      </c>
      <c s="7" r="B2127">
        <v>2154</v>
      </c>
      <c s="30" r="C2127">
        <v>39</v>
      </c>
      <c t="s" s="30" r="D2127">
        <v>147</v>
      </c>
      <c t="s" s="30" r="E2127">
        <v>4</v>
      </c>
      <c t="s" s="30" r="F2127">
        <v>4</v>
      </c>
      <c t="s" s="30" r="G2127">
        <v>274</v>
      </c>
      <c t="str" s="12" r="H2127">
        <f>HYPERLINK("http://sofifa.com/en/fifa13winter/player/150211-tim-chow","T. Chow")</f>
        <v>T. Chow</v>
      </c>
      <c s="30" r="I2127">
        <v>57</v>
      </c>
      <c t="s" s="30" r="J2127">
        <v>124</v>
      </c>
      <c t="s" s="30" r="K2127">
        <v>114</v>
      </c>
      <c t="s" s="30" r="L2127">
        <v>146</v>
      </c>
      <c s="30" r="M2127">
        <v>18</v>
      </c>
      <c s="26" r="N2127">
        <v>0.2</v>
      </c>
      <c s="23" r="O2127">
        <v>0.002</v>
      </c>
      <c s="7" r="P2127"/>
      <c s="7" r="Q2127"/>
      <c s="7" r="R2127">
        <f>IF((P2127&gt;0),O2127,0)</f>
        <v>0</v>
      </c>
      <c t="str" r="S2127">
        <f>CONCATENATE(F2127,E2127)</f>
        <v>NON FTLNON FTL</v>
      </c>
    </row>
    <row r="2128">
      <c t="s" s="7" r="A2128">
        <v>201</v>
      </c>
      <c s="7" r="B2128">
        <v>2155</v>
      </c>
      <c s="30" r="C2128">
        <v>28</v>
      </c>
      <c t="s" s="30" r="D2128">
        <v>147</v>
      </c>
      <c t="s" s="30" r="E2128">
        <v>4</v>
      </c>
      <c t="s" s="30" r="F2128">
        <v>4</v>
      </c>
      <c t="s" s="30" r="G2128">
        <v>274</v>
      </c>
      <c t="str" s="12" r="H2128">
        <f>HYPERLINK("http://sofifa.com/en/fifa13winter/player/149158-daniel-redmond","D. Redmond")</f>
        <v>D. Redmond</v>
      </c>
      <c s="30" r="I2128">
        <v>60</v>
      </c>
      <c t="s" s="30" r="J2128">
        <v>162</v>
      </c>
      <c t="s" s="30" r="K2128">
        <v>139</v>
      </c>
      <c t="s" s="30" r="L2128">
        <v>163</v>
      </c>
      <c s="30" r="M2128">
        <v>21</v>
      </c>
      <c s="26" r="N2128">
        <v>0.6</v>
      </c>
      <c s="23" r="O2128">
        <v>0.003</v>
      </c>
      <c s="7" r="P2128"/>
      <c s="7" r="Q2128"/>
      <c s="7" r="R2128">
        <f>IF((P2128&gt;0),O2128,0)</f>
        <v>0</v>
      </c>
      <c t="str" r="S2128">
        <f>CONCATENATE(F2128,E2128)</f>
        <v>NON FTLNON FTL</v>
      </c>
    </row>
    <row r="2129">
      <c t="s" s="7" r="A2129">
        <v>201</v>
      </c>
      <c s="7" r="B2129">
        <v>2156</v>
      </c>
      <c s="30" r="C2129">
        <v>45</v>
      </c>
      <c t="s" s="30" r="D2129">
        <v>147</v>
      </c>
      <c t="s" s="30" r="E2129">
        <v>4</v>
      </c>
      <c t="s" s="30" r="F2129">
        <v>4</v>
      </c>
      <c t="s" s="30" r="G2129">
        <v>274</v>
      </c>
      <c t="str" s="12" r="H2129">
        <f>HYPERLINK("http://sofifa.com/en/fifa13winter/player/149688-josh-langley","J. Langley")</f>
        <v>J. Langley</v>
      </c>
      <c s="30" r="I2129">
        <v>57</v>
      </c>
      <c t="s" s="30" r="J2129">
        <v>113</v>
      </c>
      <c t="s" s="30" r="K2129">
        <v>114</v>
      </c>
      <c t="s" s="30" r="L2129">
        <v>119</v>
      </c>
      <c s="30" r="M2129">
        <v>20</v>
      </c>
      <c s="26" r="N2129">
        <v>0.2</v>
      </c>
      <c s="23" r="O2129">
        <v>0.002</v>
      </c>
      <c s="7" r="P2129"/>
      <c s="7" r="Q2129"/>
      <c s="7" r="R2129">
        <f>IF((P2129&gt;0),O2129,0)</f>
        <v>0</v>
      </c>
      <c t="str" r="S2129">
        <f>CONCATENATE(F2129,E2129)</f>
        <v>NON FTLNON FTL</v>
      </c>
    </row>
    <row r="2130">
      <c t="s" s="7" r="A2130">
        <v>201</v>
      </c>
      <c s="7" r="B2130">
        <v>2157</v>
      </c>
      <c s="30" r="C2130">
        <v>43</v>
      </c>
      <c t="s" s="30" r="D2130">
        <v>147</v>
      </c>
      <c t="s" s="30" r="E2130">
        <v>4</v>
      </c>
      <c t="s" s="30" r="F2130">
        <v>4</v>
      </c>
      <c t="s" s="30" r="G2130">
        <v>274</v>
      </c>
      <c t="str" s="12" r="H2130">
        <f>HYPERLINK("http://sofifa.com/en/fifa13winter/player/149595-adam-buxton","A. Buxton")</f>
        <v>A. Buxton</v>
      </c>
      <c s="30" r="I2130">
        <v>54</v>
      </c>
      <c t="s" s="30" r="J2130">
        <v>109</v>
      </c>
      <c t="s" s="30" r="K2130">
        <v>132</v>
      </c>
      <c t="s" s="30" r="L2130">
        <v>183</v>
      </c>
      <c s="30" r="M2130">
        <v>20</v>
      </c>
      <c s="26" r="N2130">
        <v>0.1</v>
      </c>
      <c s="23" r="O2130">
        <v>0.002</v>
      </c>
      <c s="7" r="P2130"/>
      <c s="7" r="Q2130"/>
      <c s="7" r="R2130">
        <f>IF((P2130&gt;0),O2130,0)</f>
        <v>0</v>
      </c>
      <c t="str" r="S2130">
        <f>CONCATENATE(F2130,E2130)</f>
        <v>NON FTLNON FTL</v>
      </c>
    </row>
    <row r="2131">
      <c t="s" s="7" r="A2131">
        <v>201</v>
      </c>
      <c s="7" r="B2131">
        <v>2158</v>
      </c>
      <c s="30" r="C2131">
        <v>34</v>
      </c>
      <c t="s" s="30" r="D2131">
        <v>147</v>
      </c>
      <c t="s" s="30" r="E2131">
        <v>4</v>
      </c>
      <c t="s" s="30" r="F2131">
        <v>4</v>
      </c>
      <c t="s" s="30" r="G2131">
        <v>274</v>
      </c>
      <c t="str" s="12" r="H2131">
        <f>HYPERLINK("http://sofifa.com/en/fifa13winter/player/149494-jamie-mccormack","J. McCormack")</f>
        <v>J. McCormack</v>
      </c>
      <c s="30" r="I2131">
        <v>59</v>
      </c>
      <c t="s" s="30" r="J2131">
        <v>113</v>
      </c>
      <c t="s" s="30" r="K2131">
        <v>118</v>
      </c>
      <c t="s" s="30" r="L2131">
        <v>160</v>
      </c>
      <c s="30" r="M2131">
        <v>20</v>
      </c>
      <c s="26" r="N2131">
        <v>0.4</v>
      </c>
      <c s="23" r="O2131">
        <v>0.002</v>
      </c>
      <c s="7" r="P2131"/>
      <c s="7" r="Q2131"/>
      <c s="7" r="R2131">
        <f>IF((P2131&gt;0),O2131,0)</f>
        <v>0</v>
      </c>
      <c t="str" r="S2131">
        <f>CONCATENATE(F2131,E2131)</f>
        <v>NON FTLNON FTL</v>
      </c>
    </row>
    <row r="2132">
      <c t="s" s="7" r="A2132">
        <v>201</v>
      </c>
      <c s="7" r="B2132">
        <v>2159</v>
      </c>
      <c s="30" r="C2132">
        <v>54</v>
      </c>
      <c t="s" s="30" r="D2132">
        <v>106</v>
      </c>
      <c t="s" s="30" r="E2132">
        <v>4</v>
      </c>
      <c t="s" s="30" r="F2132">
        <v>4</v>
      </c>
      <c t="s" s="30" r="G2132">
        <v>275</v>
      </c>
      <c t="str" s="12" r="H2132">
        <f>HYPERLINK("http://sofifa.com/en/fifa13winter/player/144801-stefano-sorrentino","S. Sorrentino")</f>
        <v>S. Sorrentino</v>
      </c>
      <c s="30" r="I2132">
        <v>79</v>
      </c>
      <c t="s" s="30" r="J2132">
        <v>106</v>
      </c>
      <c t="s" s="30" r="K2132">
        <v>173</v>
      </c>
      <c t="s" s="30" r="L2132">
        <v>156</v>
      </c>
      <c s="30" r="M2132">
        <v>33</v>
      </c>
      <c s="26" r="N2132">
        <v>4.2</v>
      </c>
      <c s="23" r="O2132">
        <v>0.027</v>
      </c>
      <c s="7" r="P2132"/>
      <c s="7" r="Q2132"/>
      <c s="7" r="R2132">
        <f>IF((P2132&gt;0),O2132,0)</f>
        <v>0</v>
      </c>
      <c t="str" r="S2132">
        <f>CONCATENATE(F2132,E2132)</f>
        <v>NON FTLNON FTL</v>
      </c>
    </row>
    <row r="2133">
      <c t="s" s="7" r="A2133">
        <v>201</v>
      </c>
      <c s="7" r="B2133">
        <v>2160</v>
      </c>
      <c s="30" r="C2133">
        <v>25</v>
      </c>
      <c t="s" s="30" r="D2133">
        <v>112</v>
      </c>
      <c t="s" s="30" r="E2133">
        <v>4</v>
      </c>
      <c t="s" s="30" r="F2133">
        <v>4</v>
      </c>
      <c t="s" s="30" r="G2133">
        <v>275</v>
      </c>
      <c t="str" s="12" r="H2133">
        <f>HYPERLINK("http://sofifa.com/en/fifa13winter/player/146336-steve-von-bergen","S. von Bergen")</f>
        <v>S. von Bergen</v>
      </c>
      <c s="30" r="I2133">
        <v>72</v>
      </c>
      <c t="s" s="30" r="J2133">
        <v>113</v>
      </c>
      <c t="s" s="30" r="K2133">
        <v>173</v>
      </c>
      <c t="s" s="30" r="L2133">
        <v>193</v>
      </c>
      <c s="30" r="M2133">
        <v>29</v>
      </c>
      <c s="26" r="N2133">
        <v>2.3</v>
      </c>
      <c s="23" r="O2133">
        <v>0.009</v>
      </c>
      <c s="7" r="P2133"/>
      <c s="7" r="Q2133"/>
      <c s="7" r="R2133">
        <f>IF((P2133&gt;0),O2133,0)</f>
        <v>0</v>
      </c>
      <c t="str" r="S2133">
        <f>CONCATENATE(F2133,E2133)</f>
        <v>NON FTLNON FTL</v>
      </c>
    </row>
    <row r="2134">
      <c t="s" s="7" r="A2134">
        <v>201</v>
      </c>
      <c s="7" r="B2134">
        <v>2161</v>
      </c>
      <c s="30" r="C2134">
        <v>23</v>
      </c>
      <c t="s" s="30" r="D2134">
        <v>113</v>
      </c>
      <c t="s" s="30" r="E2134">
        <v>4</v>
      </c>
      <c t="s" s="30" r="F2134">
        <v>4</v>
      </c>
      <c t="s" s="30" r="G2134">
        <v>275</v>
      </c>
      <c t="str" s="12" r="H2134">
        <f>HYPERLINK("http://sofifa.com/en/fifa13winter/player/145530-massimo-donati","M. Donati")</f>
        <v>M. Donati</v>
      </c>
      <c s="30" r="I2134">
        <v>72</v>
      </c>
      <c t="s" s="30" r="J2134">
        <v>113</v>
      </c>
      <c t="s" s="30" r="K2134">
        <v>173</v>
      </c>
      <c t="s" s="30" r="L2134">
        <v>151</v>
      </c>
      <c s="30" r="M2134">
        <v>31</v>
      </c>
      <c s="26" r="N2134">
        <v>2.1</v>
      </c>
      <c s="23" r="O2134">
        <v>0.01</v>
      </c>
      <c s="7" r="P2134"/>
      <c s="7" r="Q2134"/>
      <c s="7" r="R2134">
        <f>IF((P2134&gt;0),O2134,0)</f>
        <v>0</v>
      </c>
      <c t="str" r="S2134">
        <f>CONCATENATE(F2134,E2134)</f>
        <v>NON FTLNON FTL</v>
      </c>
    </row>
    <row r="2135">
      <c t="s" s="7" r="A2135">
        <v>201</v>
      </c>
      <c s="7" r="B2135">
        <v>2162</v>
      </c>
      <c s="30" r="C2135">
        <v>3</v>
      </c>
      <c t="s" s="30" r="D2135">
        <v>116</v>
      </c>
      <c t="s" s="30" r="E2135">
        <v>4</v>
      </c>
      <c t="s" s="30" r="F2135">
        <v>4</v>
      </c>
      <c t="s" s="30" r="G2135">
        <v>275</v>
      </c>
      <c t="str" s="12" r="H2135">
        <f>HYPERLINK("http://sofifa.com/en/fifa13winter/player/144369-salvatore-aronica","S. Aronica")</f>
        <v>S. Aronica</v>
      </c>
      <c s="30" r="I2135">
        <v>73</v>
      </c>
      <c t="s" s="30" r="J2135">
        <v>113</v>
      </c>
      <c t="s" s="30" r="K2135">
        <v>150</v>
      </c>
      <c t="s" s="30" r="L2135">
        <v>161</v>
      </c>
      <c s="30" r="M2135">
        <v>34</v>
      </c>
      <c s="26" r="N2135">
        <v>1.9</v>
      </c>
      <c s="23" r="O2135">
        <v>0.012</v>
      </c>
      <c s="7" r="P2135"/>
      <c s="7" r="Q2135"/>
      <c s="7" r="R2135">
        <f>IF((P2135&gt;0),O2135,0)</f>
        <v>0</v>
      </c>
      <c t="str" r="S2135">
        <f>CONCATENATE(F2135,E2135)</f>
        <v>NON FTLNON FTL</v>
      </c>
    </row>
    <row r="2136">
      <c t="s" s="7" r="A2136">
        <v>201</v>
      </c>
      <c s="7" r="B2136">
        <v>2163</v>
      </c>
      <c s="30" r="C2136">
        <v>5</v>
      </c>
      <c t="s" s="30" r="D2136">
        <v>186</v>
      </c>
      <c t="s" s="30" r="E2136">
        <v>4</v>
      </c>
      <c t="s" s="30" r="F2136">
        <v>4</v>
      </c>
      <c t="s" s="30" r="G2136">
        <v>275</v>
      </c>
      <c t="str" s="12" r="H2136">
        <f>HYPERLINK("http://sofifa.com/en/fifa13winter/player/146737-edgar-barreto","E. Barreto")</f>
        <v>E. Barreto</v>
      </c>
      <c s="30" r="I2136">
        <v>74</v>
      </c>
      <c t="s" s="30" r="J2136">
        <v>124</v>
      </c>
      <c t="s" s="30" r="K2136">
        <v>143</v>
      </c>
      <c t="s" s="30" r="L2136">
        <v>161</v>
      </c>
      <c s="30" r="M2136">
        <v>28</v>
      </c>
      <c s="26" r="N2136">
        <v>3.2</v>
      </c>
      <c s="23" r="O2136">
        <v>0.011</v>
      </c>
      <c s="7" r="P2136"/>
      <c s="7" r="Q2136"/>
      <c s="7" r="R2136">
        <f>IF((P2136&gt;0),O2136,0)</f>
        <v>0</v>
      </c>
      <c t="str" r="S2136">
        <f>CONCATENATE(F2136,E2136)</f>
        <v>NON FTLNON FTL</v>
      </c>
    </row>
    <row r="2137">
      <c t="s" s="7" r="A2137">
        <v>201</v>
      </c>
      <c s="7" r="B2137">
        <v>2164</v>
      </c>
      <c s="30" r="C2137">
        <v>28</v>
      </c>
      <c t="s" s="30" r="D2137">
        <v>174</v>
      </c>
      <c t="s" s="30" r="E2137">
        <v>4</v>
      </c>
      <c t="s" s="30" r="F2137">
        <v>4</v>
      </c>
      <c t="s" s="30" r="G2137">
        <v>275</v>
      </c>
      <c t="str" s="12" r="H2137">
        <f>HYPERLINK("http://sofifa.com/en/fifa13winter/player/148377-jasmin-kurtic","J. Kurtić")</f>
        <v>J. Kurtić</v>
      </c>
      <c s="30" r="I2137">
        <v>72</v>
      </c>
      <c t="s" s="30" r="J2137">
        <v>124</v>
      </c>
      <c t="s" s="30" r="K2137">
        <v>173</v>
      </c>
      <c t="s" s="30" r="L2137">
        <v>175</v>
      </c>
      <c s="30" r="M2137">
        <v>23</v>
      </c>
      <c s="26" r="N2137">
        <v>2.9</v>
      </c>
      <c s="23" r="O2137">
        <v>0.008</v>
      </c>
      <c s="7" r="P2137"/>
      <c s="7" r="Q2137"/>
      <c s="7" r="R2137">
        <f>IF((P2137&gt;0),O2137,0)</f>
        <v>0</v>
      </c>
      <c t="str" r="S2137">
        <f>CONCATENATE(F2137,E2137)</f>
        <v>NON FTLNON FTL</v>
      </c>
    </row>
    <row r="2138">
      <c t="s" s="7" r="A2138">
        <v>201</v>
      </c>
      <c s="7" r="B2138">
        <v>2165</v>
      </c>
      <c s="30" r="C2138">
        <v>14</v>
      </c>
      <c t="s" s="30" r="D2138">
        <v>120</v>
      </c>
      <c t="s" s="30" r="E2138">
        <v>4</v>
      </c>
      <c t="s" s="30" r="F2138">
        <v>4</v>
      </c>
      <c t="s" s="30" r="G2138">
        <v>275</v>
      </c>
      <c t="str" s="12" r="H2138">
        <f>HYPERLINK("http://sofifa.com/en/fifa13winter/player/148504-michel-morganella","M. Morganella")</f>
        <v>M. Morganella</v>
      </c>
      <c s="30" r="I2138">
        <v>69</v>
      </c>
      <c t="s" s="30" r="J2138">
        <v>120</v>
      </c>
      <c t="s" s="30" r="K2138">
        <v>143</v>
      </c>
      <c t="s" s="30" r="L2138">
        <v>138</v>
      </c>
      <c s="30" r="M2138">
        <v>23</v>
      </c>
      <c s="26" r="N2138">
        <v>1.9</v>
      </c>
      <c s="23" r="O2138">
        <v>0.006</v>
      </c>
      <c s="7" r="P2138"/>
      <c s="7" r="Q2138"/>
      <c s="7" r="R2138">
        <f>IF((P2138&gt;0),O2138,0)</f>
        <v>0</v>
      </c>
      <c t="str" r="S2138">
        <f>CONCATENATE(F2138,E2138)</f>
        <v>NON FTLNON FTL</v>
      </c>
    </row>
    <row r="2139">
      <c t="s" s="7" r="A2139">
        <v>201</v>
      </c>
      <c s="7" r="B2139">
        <v>2166</v>
      </c>
      <c s="30" r="C2139">
        <v>20</v>
      </c>
      <c t="s" s="30" r="D2139">
        <v>124</v>
      </c>
      <c t="s" s="30" r="E2139">
        <v>4</v>
      </c>
      <c t="s" s="30" r="F2139">
        <v>4</v>
      </c>
      <c t="s" s="30" r="G2139">
        <v>275</v>
      </c>
      <c t="str" s="12" r="H2139">
        <f>HYPERLINK("http://sofifa.com/en/fifa13winter/player/145811-egidio-arevalo-rios","E. Arévalo Ríos")</f>
        <v>E. Arévalo Ríos</v>
      </c>
      <c s="30" r="I2139">
        <v>76</v>
      </c>
      <c t="s" s="30" r="J2139">
        <v>154</v>
      </c>
      <c t="s" s="30" r="K2139">
        <v>121</v>
      </c>
      <c t="s" s="30" r="L2139">
        <v>115</v>
      </c>
      <c s="30" r="M2139">
        <v>30</v>
      </c>
      <c s="26" r="N2139">
        <v>3.9</v>
      </c>
      <c s="23" r="O2139">
        <v>0.017</v>
      </c>
      <c s="7" r="P2139"/>
      <c s="7" r="Q2139"/>
      <c s="7" r="R2139">
        <f>IF((P2139&gt;0),O2139,0)</f>
        <v>0</v>
      </c>
      <c t="str" r="S2139">
        <f>CONCATENATE(F2139,E2139)</f>
        <v>NON FTLNON FTL</v>
      </c>
    </row>
    <row r="2140">
      <c t="s" s="7" r="A2140">
        <v>201</v>
      </c>
      <c s="7" r="B2140">
        <v>2167</v>
      </c>
      <c s="30" r="C2140">
        <v>29</v>
      </c>
      <c t="s" s="30" r="D2140">
        <v>128</v>
      </c>
      <c t="s" s="30" r="E2140">
        <v>4</v>
      </c>
      <c t="s" s="30" r="F2140">
        <v>4</v>
      </c>
      <c t="s" s="30" r="G2140">
        <v>275</v>
      </c>
      <c t="str" s="12" r="H2140">
        <f>HYPERLINK("http://sofifa.com/en/fifa13winter/player/148191-santiago-garcia","S. García")</f>
        <v>S. García</v>
      </c>
      <c s="30" r="I2140">
        <v>73</v>
      </c>
      <c t="s" s="30" r="J2140">
        <v>113</v>
      </c>
      <c t="s" s="30" r="K2140">
        <v>144</v>
      </c>
      <c t="s" s="30" r="L2140">
        <v>191</v>
      </c>
      <c s="30" r="M2140">
        <v>24</v>
      </c>
      <c s="26" r="N2140">
        <v>3</v>
      </c>
      <c s="23" r="O2140">
        <v>0.01</v>
      </c>
      <c s="7" r="P2140"/>
      <c s="7" r="Q2140"/>
      <c s="7" r="R2140">
        <f>IF((P2140&gt;0),O2140,0)</f>
        <v>0</v>
      </c>
      <c t="str" r="S2140">
        <f>CONCATENATE(F2140,E2140)</f>
        <v>NON FTLNON FTL</v>
      </c>
    </row>
    <row r="2141">
      <c t="s" s="7" r="A2141">
        <v>201</v>
      </c>
      <c s="7" r="B2141">
        <v>2168</v>
      </c>
      <c s="30" r="C2141">
        <v>27</v>
      </c>
      <c t="s" s="30" r="D2141">
        <v>171</v>
      </c>
      <c t="s" s="30" r="E2141">
        <v>4</v>
      </c>
      <c t="s" s="30" r="F2141">
        <v>4</v>
      </c>
      <c t="s" s="30" r="G2141">
        <v>275</v>
      </c>
      <c t="str" s="12" r="H2141">
        <f>HYPERLINK("http://sofifa.com/en/fifa13winter/player/148030-josip-ilicic","J. Iličić")</f>
        <v>J. Iličić</v>
      </c>
      <c s="30" r="I2141">
        <v>77</v>
      </c>
      <c t="s" s="30" r="J2141">
        <v>171</v>
      </c>
      <c t="s" s="30" r="K2141">
        <v>152</v>
      </c>
      <c t="s" s="30" r="L2141">
        <v>119</v>
      </c>
      <c s="30" r="M2141">
        <v>24</v>
      </c>
      <c s="26" r="N2141">
        <v>7.5</v>
      </c>
      <c s="23" r="O2141">
        <v>0.017</v>
      </c>
      <c s="7" r="P2141"/>
      <c s="7" r="Q2141"/>
      <c s="7" r="R2141">
        <f>IF((P2141&gt;0),O2141,0)</f>
        <v>0</v>
      </c>
      <c t="str" r="S2141">
        <f>CONCATENATE(F2141,E2141)</f>
        <v>NON FTLNON FTL</v>
      </c>
    </row>
    <row r="2142">
      <c t="s" s="7" r="A2142">
        <v>201</v>
      </c>
      <c s="7" r="B2142">
        <v>2169</v>
      </c>
      <c s="30" r="C2142">
        <v>10</v>
      </c>
      <c t="s" s="30" r="D2142">
        <v>129</v>
      </c>
      <c t="s" s="30" r="E2142">
        <v>4</v>
      </c>
      <c t="s" s="30" r="F2142">
        <v>4</v>
      </c>
      <c t="s" s="30" r="G2142">
        <v>275</v>
      </c>
      <c t="str" s="12" r="H2142">
        <f>HYPERLINK("http://sofifa.com/en/fifa13winter/player/144892-fabrizio-miccoli","F. Miccoli")</f>
        <v>F. Miccoli</v>
      </c>
      <c s="30" r="I2142">
        <v>81</v>
      </c>
      <c t="s" s="30" r="J2142">
        <v>129</v>
      </c>
      <c t="s" s="30" r="K2142">
        <v>148</v>
      </c>
      <c t="s" s="30" r="L2142">
        <v>119</v>
      </c>
      <c s="30" r="M2142">
        <v>33</v>
      </c>
      <c s="26" r="N2142">
        <v>10.8</v>
      </c>
      <c s="23" r="O2142">
        <v>0.05</v>
      </c>
      <c s="7" r="P2142"/>
      <c s="7" r="Q2142"/>
      <c s="7" r="R2142">
        <f>IF((P2142&gt;0),O2142,0)</f>
        <v>0</v>
      </c>
      <c t="str" r="S2142">
        <f>CONCATENATE(F2142,E2142)</f>
        <v>NON FTLNON FTL</v>
      </c>
    </row>
    <row r="2143">
      <c t="s" s="7" r="A2143">
        <v>201</v>
      </c>
      <c s="7" r="B2143">
        <v>2170</v>
      </c>
      <c s="30" r="C2143">
        <v>16</v>
      </c>
      <c t="s" s="30" r="D2143">
        <v>136</v>
      </c>
      <c t="s" s="30" r="E2143">
        <v>4</v>
      </c>
      <c t="s" s="30" r="F2143">
        <v>4</v>
      </c>
      <c t="s" s="30" r="G2143">
        <v>275</v>
      </c>
      <c t="str" s="12" r="H2143">
        <f>HYPERLINK("http://sofifa.com/en/fifa13winter/player/148944-diego-fabbrini","D. Fabbrini")</f>
        <v>D. Fabbrini</v>
      </c>
      <c s="30" r="I2143">
        <v>73</v>
      </c>
      <c t="s" s="30" r="J2143">
        <v>171</v>
      </c>
      <c t="s" s="30" r="K2143">
        <v>143</v>
      </c>
      <c t="s" s="30" r="L2143">
        <v>142</v>
      </c>
      <c s="30" r="M2143">
        <v>22</v>
      </c>
      <c s="26" r="N2143">
        <v>3.8</v>
      </c>
      <c s="23" r="O2143">
        <v>0.009</v>
      </c>
      <c s="7" r="P2143"/>
      <c s="7" r="Q2143"/>
      <c s="7" r="R2143">
        <f>IF((P2143&gt;0),O2143,0)</f>
        <v>0</v>
      </c>
      <c t="str" r="S2143">
        <f>CONCATENATE(F2143,E2143)</f>
        <v>NON FTLNON FTL</v>
      </c>
    </row>
    <row r="2144">
      <c t="s" s="7" r="A2144">
        <v>201</v>
      </c>
      <c s="7" r="B2144">
        <v>2171</v>
      </c>
      <c s="30" r="C2144">
        <v>2</v>
      </c>
      <c t="s" s="30" r="D2144">
        <v>136</v>
      </c>
      <c t="s" s="30" r="E2144">
        <v>4</v>
      </c>
      <c t="s" s="30" r="F2144">
        <v>4</v>
      </c>
      <c t="s" s="30" r="G2144">
        <v>275</v>
      </c>
      <c t="str" s="12" r="H2144">
        <f>HYPERLINK("http://sofifa.com/en/fifa13winter/player/146714-andrea-mantovani","A. Mantovani")</f>
        <v>A. Mantovani</v>
      </c>
      <c s="30" r="I2144">
        <v>69</v>
      </c>
      <c t="s" s="30" r="J2144">
        <v>113</v>
      </c>
      <c t="s" s="30" r="K2144">
        <v>132</v>
      </c>
      <c t="s" s="30" r="L2144">
        <v>138</v>
      </c>
      <c s="30" r="M2144">
        <v>28</v>
      </c>
      <c s="26" r="N2144">
        <v>1.6</v>
      </c>
      <c s="23" r="O2144">
        <v>0.007</v>
      </c>
      <c s="7" r="P2144"/>
      <c s="7" r="Q2144"/>
      <c s="7" r="R2144">
        <f>IF((P2144&gt;0),O2144,0)</f>
        <v>0</v>
      </c>
      <c t="str" r="S2144">
        <f>CONCATENATE(F2144,E2144)</f>
        <v>NON FTLNON FTL</v>
      </c>
    </row>
    <row r="2145">
      <c t="s" s="7" r="A2145">
        <v>201</v>
      </c>
      <c s="7" r="B2145">
        <v>2172</v>
      </c>
      <c s="30" r="C2145">
        <v>4</v>
      </c>
      <c t="s" s="30" r="D2145">
        <v>136</v>
      </c>
      <c t="s" s="30" r="E2145">
        <v>4</v>
      </c>
      <c t="s" s="30" r="F2145">
        <v>4</v>
      </c>
      <c t="s" s="30" r="G2145">
        <v>275</v>
      </c>
      <c t="str" s="12" r="H2145">
        <f>HYPERLINK("http://sofifa.com/en/fifa13winter/player/146336-nelson-augusto-tomar-marcos","Nélson")</f>
        <v>Nélson</v>
      </c>
      <c s="30" r="I2145">
        <v>72</v>
      </c>
      <c t="s" s="30" r="J2145">
        <v>109</v>
      </c>
      <c t="s" s="30" r="K2145">
        <v>187</v>
      </c>
      <c t="s" s="30" r="L2145">
        <v>149</v>
      </c>
      <c s="30" r="M2145">
        <v>29</v>
      </c>
      <c s="26" r="N2145">
        <v>2.2</v>
      </c>
      <c s="23" r="O2145">
        <v>0.009</v>
      </c>
      <c s="7" r="P2145"/>
      <c s="7" r="Q2145"/>
      <c s="7" r="R2145">
        <f>IF((P2145&gt;0),O2145,0)</f>
        <v>0</v>
      </c>
      <c t="str" r="S2145">
        <f>CONCATENATE(F2145,E2145)</f>
        <v>NON FTLNON FTL</v>
      </c>
    </row>
    <row r="2146">
      <c t="s" s="7" r="A2146">
        <v>201</v>
      </c>
      <c s="7" r="B2146">
        <v>2173</v>
      </c>
      <c s="30" r="C2146">
        <v>9</v>
      </c>
      <c t="s" s="30" r="D2146">
        <v>136</v>
      </c>
      <c t="s" s="30" r="E2146">
        <v>4</v>
      </c>
      <c t="s" s="30" r="F2146">
        <v>4</v>
      </c>
      <c t="s" s="30" r="G2146">
        <v>275</v>
      </c>
      <c t="str" s="12" r="H2146">
        <f>HYPERLINK("http://sofifa.com/en/fifa13winter/player/150147-paulo-dybala","P. Dybala")</f>
        <v>P. Dybala</v>
      </c>
      <c s="30" r="I2146">
        <v>72</v>
      </c>
      <c t="s" s="30" r="J2146">
        <v>129</v>
      </c>
      <c t="s" s="30" r="K2146">
        <v>159</v>
      </c>
      <c t="s" s="30" r="L2146">
        <v>111</v>
      </c>
      <c s="30" r="M2146">
        <v>18</v>
      </c>
      <c s="26" r="N2146">
        <v>3.6</v>
      </c>
      <c s="23" r="O2146">
        <v>0.007</v>
      </c>
      <c s="7" r="P2146"/>
      <c s="7" r="Q2146"/>
      <c s="7" r="R2146">
        <f>IF((P2146&gt;0),O2146,0)</f>
        <v>0</v>
      </c>
      <c t="str" r="S2146">
        <f>CONCATENATE(F2146,E2146)</f>
        <v>NON FTLNON FTL</v>
      </c>
    </row>
    <row r="2147">
      <c t="s" s="7" r="A2147">
        <v>201</v>
      </c>
      <c s="7" r="B2147">
        <v>2174</v>
      </c>
      <c s="30" r="C2147">
        <v>50</v>
      </c>
      <c t="s" s="30" r="D2147">
        <v>136</v>
      </c>
      <c t="s" s="30" r="E2147">
        <v>4</v>
      </c>
      <c t="s" s="30" r="F2147">
        <v>4</v>
      </c>
      <c t="s" s="30" r="G2147">
        <v>275</v>
      </c>
      <c t="str" s="12" r="H2147">
        <f>HYPERLINK("http://sofifa.com/en/fifa13winter/player/150234-giulio-sanseverino","G. Sanseverino")</f>
        <v>G. Sanseverino</v>
      </c>
      <c s="30" r="I2147">
        <v>64</v>
      </c>
      <c t="s" s="30" r="J2147">
        <v>170</v>
      </c>
      <c t="s" s="30" r="K2147">
        <v>187</v>
      </c>
      <c t="s" s="30" r="L2147">
        <v>164</v>
      </c>
      <c s="30" r="M2147">
        <v>18</v>
      </c>
      <c s="26" r="N2147">
        <v>1.1</v>
      </c>
      <c s="23" r="O2147">
        <v>0.003</v>
      </c>
      <c s="7" r="P2147"/>
      <c s="7" r="Q2147"/>
      <c s="7" r="R2147">
        <f>IF((P2147&gt;0),O2147,0)</f>
        <v>0</v>
      </c>
      <c t="str" r="S2147">
        <f>CONCATENATE(F2147,E2147)</f>
        <v>NON FTLNON FTL</v>
      </c>
    </row>
    <row r="2148">
      <c t="s" s="7" r="A2148">
        <v>201</v>
      </c>
      <c s="7" r="B2148">
        <v>2175</v>
      </c>
      <c s="30" r="C2148">
        <v>33</v>
      </c>
      <c t="s" s="30" r="D2148">
        <v>136</v>
      </c>
      <c t="s" s="30" r="E2148">
        <v>4</v>
      </c>
      <c t="s" s="30" r="F2148">
        <v>4</v>
      </c>
      <c t="s" s="30" r="G2148">
        <v>275</v>
      </c>
      <c t="str" s="12" r="H2148">
        <f>HYPERLINK("http://sofifa.com/en/fifa13winter/player/148096-mauro-formica","M. Formica")</f>
        <v>M. Formica</v>
      </c>
      <c s="30" r="I2148">
        <v>69</v>
      </c>
      <c t="s" s="30" r="J2148">
        <v>120</v>
      </c>
      <c t="s" s="30" r="K2148">
        <v>172</v>
      </c>
      <c t="s" s="30" r="L2148">
        <v>141</v>
      </c>
      <c s="30" r="M2148">
        <v>24</v>
      </c>
      <c s="26" r="N2148">
        <v>1.8</v>
      </c>
      <c s="23" r="O2148">
        <v>0.007</v>
      </c>
      <c s="7" r="P2148"/>
      <c s="7" r="Q2148"/>
      <c s="7" r="R2148">
        <f>IF((P2148&gt;0),O2148,0)</f>
        <v>0</v>
      </c>
      <c t="str" r="S2148">
        <f>CONCATENATE(F2148,E2148)</f>
        <v>NON FTLNON FTL</v>
      </c>
    </row>
    <row r="2149">
      <c t="s" s="7" r="A2149">
        <v>201</v>
      </c>
      <c s="7" r="B2149">
        <v>2176</v>
      </c>
      <c s="30" r="C2149">
        <v>7</v>
      </c>
      <c t="s" s="30" r="D2149">
        <v>136</v>
      </c>
      <c t="s" s="30" r="E2149">
        <v>4</v>
      </c>
      <c t="s" s="30" r="F2149">
        <v>4</v>
      </c>
      <c t="s" s="30" r="G2149">
        <v>275</v>
      </c>
      <c t="str" s="12" r="H2149">
        <f>HYPERLINK("http://sofifa.com/en/fifa13winter/player/148652-nicolas-viola","N. Viola")</f>
        <v>N. Viola</v>
      </c>
      <c s="30" r="I2149">
        <v>66</v>
      </c>
      <c t="s" s="30" r="J2149">
        <v>124</v>
      </c>
      <c t="s" s="30" r="K2149">
        <v>114</v>
      </c>
      <c t="s" s="30" r="L2149">
        <v>138</v>
      </c>
      <c s="30" r="M2149">
        <v>22</v>
      </c>
      <c s="26" r="N2149">
        <v>1.2</v>
      </c>
      <c s="23" r="O2149">
        <v>0.005</v>
      </c>
      <c s="7" r="P2149"/>
      <c s="7" r="Q2149"/>
      <c s="7" r="R2149">
        <f>IF((P2149&gt;0),O2149,0)</f>
        <v>0</v>
      </c>
      <c t="str" r="S2149">
        <f>CONCATENATE(F2149,E2149)</f>
        <v>NON FTLNON FTL</v>
      </c>
    </row>
    <row r="2150">
      <c t="s" s="7" r="A2150">
        <v>201</v>
      </c>
      <c s="7" r="B2150">
        <v>2177</v>
      </c>
      <c s="30" r="C2150">
        <v>99</v>
      </c>
      <c t="s" s="30" r="D2150">
        <v>136</v>
      </c>
      <c t="s" s="30" r="E2150">
        <v>4</v>
      </c>
      <c t="s" s="30" r="F2150">
        <v>4</v>
      </c>
      <c t="s" s="30" r="G2150">
        <v>275</v>
      </c>
      <c t="str" s="12" r="H2150">
        <f>HYPERLINK("http://sofifa.com/en/fifa13winter/player/145733-francesco-benussi","F. Benussi")</f>
        <v>F. Benussi</v>
      </c>
      <c s="30" r="I2150">
        <v>70</v>
      </c>
      <c t="s" s="30" r="J2150">
        <v>106</v>
      </c>
      <c t="s" s="30" r="K2150">
        <v>169</v>
      </c>
      <c t="s" s="30" r="L2150">
        <v>179</v>
      </c>
      <c s="30" r="M2150">
        <v>30</v>
      </c>
      <c s="26" r="N2150">
        <v>1.3</v>
      </c>
      <c s="23" r="O2150">
        <v>0.008</v>
      </c>
      <c s="7" r="P2150"/>
      <c s="7" r="Q2150"/>
      <c s="7" r="R2150">
        <f>IF((P2150&gt;0),O2150,0)</f>
        <v>0</v>
      </c>
      <c t="str" r="S2150">
        <f>CONCATENATE(F2150,E2150)</f>
        <v>NON FTLNON FTL</v>
      </c>
    </row>
    <row r="2151">
      <c t="s" s="7" r="A2151">
        <v>201</v>
      </c>
      <c s="7" r="B2151">
        <v>2178</v>
      </c>
      <c s="30" r="C2151">
        <v>18</v>
      </c>
      <c t="s" s="30" r="D2151">
        <v>136</v>
      </c>
      <c t="s" s="30" r="E2151">
        <v>4</v>
      </c>
      <c t="s" s="30" r="F2151">
        <v>4</v>
      </c>
      <c t="s" s="30" r="G2151">
        <v>275</v>
      </c>
      <c t="str" s="12" r="H2151">
        <f>HYPERLINK("http://sofifa.com/en/fifa13winter/player/147492-alejandro-faurlin","A. Faurlín")</f>
        <v>A. Faurlín</v>
      </c>
      <c s="30" r="I2151">
        <v>75</v>
      </c>
      <c t="s" s="30" r="J2151">
        <v>124</v>
      </c>
      <c t="s" s="30" r="K2151">
        <v>132</v>
      </c>
      <c t="s" s="30" r="L2151">
        <v>158</v>
      </c>
      <c s="30" r="M2151">
        <v>26</v>
      </c>
      <c s="26" r="N2151">
        <v>4</v>
      </c>
      <c s="23" r="O2151">
        <v>0.013</v>
      </c>
      <c s="7" r="P2151"/>
      <c s="7" r="Q2151"/>
      <c s="7" r="R2151">
        <f>IF((P2151&gt;0),O2151,0)</f>
        <v>0</v>
      </c>
      <c t="str" r="S2151">
        <f>CONCATENATE(F2151,E2151)</f>
        <v>NON FTLNON FTL</v>
      </c>
    </row>
    <row r="2152">
      <c t="s" s="7" r="A2152">
        <v>201</v>
      </c>
      <c s="7" r="B2152">
        <v>2179</v>
      </c>
      <c s="30" r="C2152">
        <v>6</v>
      </c>
      <c t="s" s="30" r="D2152">
        <v>136</v>
      </c>
      <c t="s" s="30" r="E2152">
        <v>4</v>
      </c>
      <c t="s" s="30" r="F2152">
        <v>4</v>
      </c>
      <c t="s" s="30" r="G2152">
        <v>275</v>
      </c>
      <c t="str" s="12" r="H2152">
        <f>HYPERLINK("http://sofifa.com/en/fifa13winter/player/149013-ezequiel-munoz","E. Muñoz")</f>
        <v>E. Muñoz</v>
      </c>
      <c s="30" r="I2152">
        <v>73</v>
      </c>
      <c t="s" s="30" r="J2152">
        <v>113</v>
      </c>
      <c t="s" s="30" r="K2152">
        <v>132</v>
      </c>
      <c t="s" s="30" r="L2152">
        <v>193</v>
      </c>
      <c s="30" r="M2152">
        <v>21</v>
      </c>
      <c s="26" r="N2152">
        <v>3.2</v>
      </c>
      <c s="23" r="O2152">
        <v>0.009</v>
      </c>
      <c s="7" r="P2152"/>
      <c s="7" r="Q2152"/>
      <c s="7" r="R2152">
        <f>IF((P2152&gt;0),O2152,0)</f>
        <v>0</v>
      </c>
      <c t="str" r="S2152">
        <f>CONCATENATE(F2152,E2152)</f>
        <v>NON FTLNON FTL</v>
      </c>
    </row>
    <row r="2153">
      <c t="s" s="7" r="A2153">
        <v>201</v>
      </c>
      <c s="7" r="B2153">
        <v>2180</v>
      </c>
      <c s="30" r="C2153">
        <v>8</v>
      </c>
      <c t="s" s="30" r="D2153">
        <v>136</v>
      </c>
      <c t="s" s="30" r="E2153">
        <v>4</v>
      </c>
      <c t="s" s="30" r="F2153">
        <v>4</v>
      </c>
      <c t="s" s="30" r="G2153">
        <v>275</v>
      </c>
      <c t="str" s="12" r="H2153">
        <f>HYPERLINK("http://sofifa.com/en/fifa13winter/player/145699-andrea-dossena","A. Dossena")</f>
        <v>A. Dossena</v>
      </c>
      <c s="30" r="I2153">
        <v>72</v>
      </c>
      <c t="s" s="30" r="J2153">
        <v>128</v>
      </c>
      <c t="s" s="30" r="K2153">
        <v>114</v>
      </c>
      <c t="s" s="30" r="L2153">
        <v>138</v>
      </c>
      <c s="30" r="M2153">
        <v>30</v>
      </c>
      <c s="26" r="N2153">
        <v>2.3</v>
      </c>
      <c s="23" r="O2153">
        <v>0.01</v>
      </c>
      <c s="7" r="P2153"/>
      <c s="7" r="Q2153"/>
      <c s="7" r="R2153">
        <f>IF((P2153&gt;0),O2153,0)</f>
        <v>0</v>
      </c>
      <c t="str" r="S2153">
        <f>CONCATENATE(F2153,E2153)</f>
        <v>NON FTLNON FTL</v>
      </c>
    </row>
    <row r="2154">
      <c t="s" s="7" r="A2154">
        <v>201</v>
      </c>
      <c s="7" r="B2154">
        <v>2181</v>
      </c>
      <c s="30" r="C2154">
        <v>17</v>
      </c>
      <c t="s" s="30" r="D2154">
        <v>136</v>
      </c>
      <c t="s" s="30" r="E2154">
        <v>4</v>
      </c>
      <c t="s" s="30" r="F2154">
        <v>4</v>
      </c>
      <c t="s" s="30" r="G2154">
        <v>275</v>
      </c>
      <c t="str" s="12" r="H2154">
        <f>HYPERLINK("http://sofifa.com/en/fifa13winter/player/147048-mauro-boselli","M. Boselli")</f>
        <v>M. Boselli</v>
      </c>
      <c s="30" r="I2154">
        <v>72</v>
      </c>
      <c t="s" s="30" r="J2154">
        <v>129</v>
      </c>
      <c t="s" s="30" r="K2154">
        <v>150</v>
      </c>
      <c t="s" s="30" r="L2154">
        <v>146</v>
      </c>
      <c s="30" r="M2154">
        <v>27</v>
      </c>
      <c s="26" r="N2154">
        <v>3</v>
      </c>
      <c s="23" r="O2154">
        <v>0.009</v>
      </c>
      <c s="7" r="P2154"/>
      <c s="7" r="Q2154"/>
      <c s="7" r="R2154">
        <f>IF((P2154&gt;0),O2154,0)</f>
        <v>0</v>
      </c>
      <c t="str" r="S2154">
        <f>CONCATENATE(F2154,E2154)</f>
        <v>NON FTLNON FTL</v>
      </c>
    </row>
    <row r="2155">
      <c t="s" s="7" r="A2155">
        <v>201</v>
      </c>
      <c s="7" r="B2155">
        <v>2182</v>
      </c>
      <c s="30" r="C2155">
        <v>11</v>
      </c>
      <c t="s" s="30" r="D2155">
        <v>147</v>
      </c>
      <c t="s" s="30" r="E2155">
        <v>4</v>
      </c>
      <c t="s" s="30" r="F2155">
        <v>4</v>
      </c>
      <c t="s" s="30" r="G2155">
        <v>275</v>
      </c>
      <c t="str" s="12" r="H2155">
        <f>HYPERLINK("http://sofifa.com/en/fifa13winter/player/148952-abel-hernandez","A. Hernández")</f>
        <v>A. Hernández</v>
      </c>
      <c s="30" r="I2155">
        <v>74</v>
      </c>
      <c t="s" s="30" r="J2155">
        <v>129</v>
      </c>
      <c t="s" s="30" r="K2155">
        <v>132</v>
      </c>
      <c t="s" s="30" r="L2155">
        <v>119</v>
      </c>
      <c s="30" r="M2155">
        <v>22</v>
      </c>
      <c s="26" r="N2155">
        <v>4.8</v>
      </c>
      <c s="23" r="O2155">
        <v>0.01</v>
      </c>
      <c s="7" r="P2155"/>
      <c s="7" r="Q2155"/>
      <c s="7" r="R2155">
        <f>IF((P2155&gt;0),O2155,0)</f>
        <v>0</v>
      </c>
      <c t="str" r="S2155">
        <f>CONCATENATE(F2155,E2155)</f>
        <v>NON FTLNON FTL</v>
      </c>
    </row>
    <row r="2156">
      <c t="s" s="7" r="A2156">
        <v>201</v>
      </c>
      <c s="7" r="B2156">
        <v>2183</v>
      </c>
      <c s="30" r="C2156">
        <v>89</v>
      </c>
      <c t="s" s="30" r="D2156">
        <v>147</v>
      </c>
      <c t="s" s="30" r="E2156">
        <v>4</v>
      </c>
      <c t="s" s="30" r="F2156">
        <v>4</v>
      </c>
      <c t="s" s="30" r="G2156">
        <v>275</v>
      </c>
      <c t="str" s="12" r="H2156">
        <f>HYPERLINK("http://sofifa.com/en/fifa13winter/player/148418-anselmo-de-moraes","Anselmo")</f>
        <v>Anselmo</v>
      </c>
      <c s="30" r="I2156">
        <v>67</v>
      </c>
      <c t="s" s="30" r="J2156">
        <v>154</v>
      </c>
      <c t="s" s="30" r="K2156">
        <v>132</v>
      </c>
      <c t="s" s="30" r="L2156">
        <v>193</v>
      </c>
      <c s="30" r="M2156">
        <v>23</v>
      </c>
      <c s="26" r="N2156">
        <v>1.3</v>
      </c>
      <c s="23" r="O2156">
        <v>0.005</v>
      </c>
      <c s="7" r="P2156"/>
      <c s="7" r="Q2156"/>
      <c s="7" r="R2156">
        <f>IF((P2156&gt;0),O2156,0)</f>
        <v>0</v>
      </c>
      <c t="str" r="S2156">
        <f>CONCATENATE(F2156,E2156)</f>
        <v>NON FTLNON FTL</v>
      </c>
    </row>
    <row r="2157">
      <c t="s" s="7" r="A2157">
        <v>201</v>
      </c>
      <c s="7" r="B2157">
        <v>2184</v>
      </c>
      <c s="30" r="C2157">
        <v>22</v>
      </c>
      <c t="s" s="30" r="D2157">
        <v>147</v>
      </c>
      <c t="s" s="30" r="E2157">
        <v>4</v>
      </c>
      <c t="s" s="30" r="F2157">
        <v>4</v>
      </c>
      <c t="s" s="30" r="G2157">
        <v>275</v>
      </c>
      <c t="str" s="12" r="H2157">
        <f>HYPERLINK("http://sofifa.com/en/fifa13winter/player/146304-giacomo-brichetto","G. Brichetto")</f>
        <v>G. Brichetto</v>
      </c>
      <c s="30" r="I2157">
        <v>67</v>
      </c>
      <c t="s" s="30" r="J2157">
        <v>106</v>
      </c>
      <c t="s" s="30" r="K2157">
        <v>188</v>
      </c>
      <c t="s" s="30" r="L2157">
        <v>108</v>
      </c>
      <c s="30" r="M2157">
        <v>29</v>
      </c>
      <c s="26" r="N2157">
        <v>1</v>
      </c>
      <c s="23" r="O2157">
        <v>0.006</v>
      </c>
      <c s="7" r="P2157"/>
      <c s="7" r="Q2157"/>
      <c s="7" r="R2157">
        <f>IF((P2157&gt;0),O2157,0)</f>
        <v>0</v>
      </c>
      <c t="str" r="S2157">
        <f>CONCATENATE(F2157,E2157)</f>
        <v>NON FTLNON FTL</v>
      </c>
    </row>
    <row r="2158">
      <c t="s" s="7" r="A2158">
        <v>201</v>
      </c>
      <c s="7" r="B2158">
        <v>2185</v>
      </c>
      <c s="30" r="C2158">
        <v>19</v>
      </c>
      <c t="s" s="30" r="D2158">
        <v>147</v>
      </c>
      <c t="s" s="30" r="E2158">
        <v>4</v>
      </c>
      <c t="s" s="30" r="F2158">
        <v>4</v>
      </c>
      <c t="s" s="30" r="G2158">
        <v>275</v>
      </c>
      <c t="str" s="12" r="H2158">
        <f>HYPERLINK("http://sofifa.com/en/fifa13winter/player/147318-mauricio-sperduti","M. Sperduti")</f>
        <v>M. Sperduti</v>
      </c>
      <c s="30" r="I2158">
        <v>70</v>
      </c>
      <c t="s" s="30" r="J2158">
        <v>157</v>
      </c>
      <c t="s" s="30" r="K2158">
        <v>114</v>
      </c>
      <c t="s" s="30" r="L2158">
        <v>119</v>
      </c>
      <c s="30" r="M2158">
        <v>26</v>
      </c>
      <c s="26" r="N2158">
        <v>2</v>
      </c>
      <c s="23" r="O2158">
        <v>0.007</v>
      </c>
      <c s="7" r="P2158"/>
      <c s="7" r="Q2158"/>
      <c s="7" r="R2158">
        <f>IF((P2158&gt;0),O2158,0)</f>
        <v>0</v>
      </c>
      <c t="str" r="S2158">
        <f>CONCATENATE(F2158,E2158)</f>
        <v>NON FTLNON FTL</v>
      </c>
    </row>
    <row r="2159">
      <c t="s" s="7" r="A2159">
        <v>201</v>
      </c>
      <c s="7" r="B2159">
        <v>2186</v>
      </c>
      <c s="30" r="C2159">
        <v>1</v>
      </c>
      <c t="s" s="30" r="D2159">
        <v>106</v>
      </c>
      <c t="s" s="30" r="E2159">
        <v>4</v>
      </c>
      <c t="s" s="30" r="F2159">
        <v>4</v>
      </c>
      <c t="s" s="30" r="G2159">
        <v>276</v>
      </c>
      <c t="str" s="12" r="H2159">
        <f>HYPERLINK("http://sofifa.com/en/fifa13winter/player/144257-roy-carroll","R. Carroll")</f>
        <v>R. Carroll</v>
      </c>
      <c s="30" r="I2159">
        <v>73</v>
      </c>
      <c t="s" s="30" r="J2159">
        <v>106</v>
      </c>
      <c t="s" s="30" r="K2159">
        <v>134</v>
      </c>
      <c t="s" s="30" r="L2159">
        <v>153</v>
      </c>
      <c s="30" r="M2159">
        <v>34</v>
      </c>
      <c s="26" r="N2159">
        <v>1.6</v>
      </c>
      <c s="23" r="O2159">
        <v>0.012</v>
      </c>
      <c s="7" r="P2159"/>
      <c s="7" r="Q2159"/>
      <c s="7" r="R2159">
        <f>IF((P2159&gt;0),O2159,0)</f>
        <v>0</v>
      </c>
      <c t="str" r="S2159">
        <f>CONCATENATE(F2159,E2159)</f>
        <v>NON FTLNON FTL</v>
      </c>
    </row>
    <row r="2160">
      <c t="s" s="7" r="A2160">
        <v>201</v>
      </c>
      <c s="7" r="B2160">
        <v>2187</v>
      </c>
      <c s="30" r="C2160">
        <v>22</v>
      </c>
      <c t="s" s="30" r="D2160">
        <v>109</v>
      </c>
      <c t="s" s="30" r="E2160">
        <v>4</v>
      </c>
      <c t="s" s="30" r="F2160">
        <v>4</v>
      </c>
      <c t="s" s="30" r="G2160">
        <v>276</v>
      </c>
      <c t="str" s="12" r="H2160">
        <f>HYPERLINK("http://sofifa.com/en/fifa13winter/player/146955-drissa-diakite","D. Diakite")</f>
        <v>D. Diakite</v>
      </c>
      <c s="30" r="I2160">
        <v>72</v>
      </c>
      <c t="s" s="30" r="J2160">
        <v>109</v>
      </c>
      <c t="s" s="30" r="K2160">
        <v>139</v>
      </c>
      <c t="s" s="30" r="L2160">
        <v>111</v>
      </c>
      <c s="30" r="M2160">
        <v>27</v>
      </c>
      <c s="26" r="N2160">
        <v>2.4</v>
      </c>
      <c s="23" r="O2160">
        <v>0.009</v>
      </c>
      <c s="7" r="P2160"/>
      <c s="7" r="Q2160"/>
      <c s="7" r="R2160">
        <f>IF((P2160&gt;0),O2160,0)</f>
        <v>0</v>
      </c>
      <c t="str" r="S2160">
        <f>CONCATENATE(F2160,E2160)</f>
        <v>NON FTLNON FTL</v>
      </c>
    </row>
    <row r="2161">
      <c t="s" s="7" r="A2161">
        <v>201</v>
      </c>
      <c s="7" r="B2161">
        <v>2188</v>
      </c>
      <c s="30" r="C2161">
        <v>24</v>
      </c>
      <c t="s" s="30" r="D2161">
        <v>112</v>
      </c>
      <c t="s" s="30" r="E2161">
        <v>4</v>
      </c>
      <c t="s" s="30" r="F2161">
        <v>4</v>
      </c>
      <c t="s" s="30" r="G2161">
        <v>276</v>
      </c>
      <c t="str" s="12" r="H2161">
        <f>HYPERLINK("http://sofifa.com/en/fifa13winter/player/149262-kostas-manolas","K. Manolas")</f>
        <v>K. Manolas</v>
      </c>
      <c s="30" r="I2161">
        <v>75</v>
      </c>
      <c t="s" s="30" r="J2161">
        <v>113</v>
      </c>
      <c t="s" s="30" r="K2161">
        <v>169</v>
      </c>
      <c t="s" s="30" r="L2161">
        <v>158</v>
      </c>
      <c s="30" r="M2161">
        <v>21</v>
      </c>
      <c s="26" r="N2161">
        <v>4.5</v>
      </c>
      <c s="23" r="O2161">
        <v>0.011</v>
      </c>
      <c s="7" r="P2161"/>
      <c s="7" r="Q2161"/>
      <c s="7" r="R2161">
        <f>IF((P2161&gt;0),O2161,0)</f>
        <v>0</v>
      </c>
      <c t="str" r="S2161">
        <f>CONCATENATE(F2161,E2161)</f>
        <v>NON FTLNON FTL</v>
      </c>
    </row>
    <row r="2162">
      <c t="s" s="7" r="A2162">
        <v>201</v>
      </c>
      <c s="7" r="B2162">
        <v>2189</v>
      </c>
      <c s="30" r="C2162">
        <v>15</v>
      </c>
      <c t="s" s="30" r="D2162">
        <v>116</v>
      </c>
      <c t="s" s="30" r="E2162">
        <v>4</v>
      </c>
      <c t="s" s="30" r="F2162">
        <v>4</v>
      </c>
      <c t="s" s="30" r="G2162">
        <v>276</v>
      </c>
      <c t="str" s="12" r="H2162">
        <f>HYPERLINK("http://sofifa.com/en/fifa13winter/player/144603-pablo-contreras","P. Contreras")</f>
        <v>P. Contreras</v>
      </c>
      <c s="30" r="I2162">
        <v>75</v>
      </c>
      <c t="s" s="30" r="J2162">
        <v>113</v>
      </c>
      <c t="s" s="30" r="K2162">
        <v>150</v>
      </c>
      <c t="s" s="30" r="L2162">
        <v>151</v>
      </c>
      <c s="30" r="M2162">
        <v>33</v>
      </c>
      <c s="26" r="N2162">
        <v>2.9</v>
      </c>
      <c s="23" r="O2162">
        <v>0.016</v>
      </c>
      <c s="7" r="P2162"/>
      <c s="7" r="Q2162"/>
      <c s="7" r="R2162">
        <f>IF((P2162&gt;0),O2162,0)</f>
        <v>0</v>
      </c>
      <c t="str" r="S2162">
        <f>CONCATENATE(F2162,E2162)</f>
        <v>NON FTLNON FTL</v>
      </c>
    </row>
    <row r="2163">
      <c t="s" s="7" r="A2163">
        <v>201</v>
      </c>
      <c s="7" r="B2163">
        <v>2190</v>
      </c>
      <c s="30" r="C2163">
        <v>20</v>
      </c>
      <c t="s" s="30" r="D2163">
        <v>117</v>
      </c>
      <c t="s" s="30" r="E2163">
        <v>4</v>
      </c>
      <c t="s" s="30" r="F2163">
        <v>4</v>
      </c>
      <c t="s" s="30" r="G2163">
        <v>276</v>
      </c>
      <c t="str" s="12" r="H2163">
        <f>HYPERLINK("http://sofifa.com/en/fifa13winter/player/146719-jose-holebas","J. Holebas")</f>
        <v>J. Holebas</v>
      </c>
      <c s="30" r="I2163">
        <v>71</v>
      </c>
      <c t="s" s="30" r="J2163">
        <v>117</v>
      </c>
      <c t="s" s="30" r="K2163">
        <v>167</v>
      </c>
      <c t="s" s="30" r="L2163">
        <v>158</v>
      </c>
      <c s="30" r="M2163">
        <v>28</v>
      </c>
      <c s="26" r="N2163">
        <v>2</v>
      </c>
      <c s="23" r="O2163">
        <v>0.008</v>
      </c>
      <c s="7" r="P2163"/>
      <c s="7" r="Q2163"/>
      <c s="7" r="R2163">
        <f>IF((P2163&gt;0),O2163,0)</f>
        <v>0</v>
      </c>
      <c t="str" r="S2163">
        <f>CONCATENATE(F2163,E2163)</f>
        <v>NON FTLNON FTL</v>
      </c>
    </row>
    <row r="2164">
      <c t="s" s="7" r="A2164">
        <v>201</v>
      </c>
      <c s="7" r="B2164">
        <v>2191</v>
      </c>
      <c s="30" r="C2164">
        <v>2</v>
      </c>
      <c t="s" s="30" r="D2164">
        <v>154</v>
      </c>
      <c t="s" s="30" r="E2164">
        <v>4</v>
      </c>
      <c t="s" s="30" r="F2164">
        <v>4</v>
      </c>
      <c t="s" s="30" r="G2164">
        <v>276</v>
      </c>
      <c t="str" s="12" r="H2164">
        <f>HYPERLINK("http://sofifa.com/en/fifa13winter/player/147556-giannis-maniatis","G. Maniatis")</f>
        <v>G. Maniatis</v>
      </c>
      <c s="30" r="I2164">
        <v>74</v>
      </c>
      <c t="s" s="30" r="J2164">
        <v>154</v>
      </c>
      <c t="s" s="30" r="K2164">
        <v>139</v>
      </c>
      <c t="s" s="30" r="L2164">
        <v>115</v>
      </c>
      <c s="30" r="M2164">
        <v>25</v>
      </c>
      <c s="26" r="N2164">
        <v>3.2</v>
      </c>
      <c s="23" r="O2164">
        <v>0.011</v>
      </c>
      <c s="7" r="P2164"/>
      <c s="7" r="Q2164"/>
      <c s="7" r="R2164">
        <f>IF((P2164&gt;0),O2164,0)</f>
        <v>0</v>
      </c>
      <c t="str" r="S2164">
        <f>CONCATENATE(F2164,E2164)</f>
        <v>NON FTLNON FTL</v>
      </c>
    </row>
    <row r="2165">
      <c t="s" s="7" r="A2165">
        <v>201</v>
      </c>
      <c s="7" r="B2165">
        <v>2192</v>
      </c>
      <c s="30" r="C2165">
        <v>99</v>
      </c>
      <c t="s" s="30" r="D2165">
        <v>120</v>
      </c>
      <c t="s" s="30" r="E2165">
        <v>4</v>
      </c>
      <c t="s" s="30" r="F2165">
        <v>4</v>
      </c>
      <c t="s" s="30" r="G2165">
        <v>276</v>
      </c>
      <c t="str" s="12" r="H2165">
        <f>HYPERLINK("http://sofifa.com/en/fifa13winter/player/147725-juan-pablo-pino","J. Pino")</f>
        <v>J. Pino</v>
      </c>
      <c s="30" r="I2165">
        <v>74</v>
      </c>
      <c t="s" s="30" r="J2165">
        <v>157</v>
      </c>
      <c t="s" s="30" r="K2165">
        <v>172</v>
      </c>
      <c t="s" s="30" r="L2165">
        <v>146</v>
      </c>
      <c s="30" r="M2165">
        <v>25</v>
      </c>
      <c s="26" r="N2165">
        <v>3.7</v>
      </c>
      <c s="23" r="O2165">
        <v>0.011</v>
      </c>
      <c s="7" r="P2165"/>
      <c s="7" r="Q2165"/>
      <c s="7" r="R2165">
        <f>IF((P2165&gt;0),O2165,0)</f>
        <v>0</v>
      </c>
      <c t="str" r="S2165">
        <f>CONCATENATE(F2165,E2165)</f>
        <v>NON FTLNON FTL</v>
      </c>
    </row>
    <row r="2166">
      <c t="s" s="7" r="A2166">
        <v>201</v>
      </c>
      <c s="7" r="B2166">
        <v>2193</v>
      </c>
      <c s="30" r="C2166">
        <v>5</v>
      </c>
      <c t="s" s="30" r="D2166">
        <v>123</v>
      </c>
      <c t="s" s="30" r="E2166">
        <v>4</v>
      </c>
      <c t="s" s="30" r="F2166">
        <v>4</v>
      </c>
      <c t="s" s="30" r="G2166">
        <v>276</v>
      </c>
      <c t="str" s="12" r="H2166">
        <f>HYPERLINK("http://sofifa.com/en/fifa13winter/player/147361-paulo-ricardo-de-jesus-machado","Paulo Machado")</f>
        <v>Paulo Machado</v>
      </c>
      <c s="30" r="I2166">
        <v>74</v>
      </c>
      <c t="s" s="30" r="J2166">
        <v>124</v>
      </c>
      <c t="s" s="30" r="K2166">
        <v>182</v>
      </c>
      <c t="s" s="30" r="L2166">
        <v>160</v>
      </c>
      <c s="30" r="M2166">
        <v>26</v>
      </c>
      <c s="26" r="N2166">
        <v>3.5</v>
      </c>
      <c s="23" r="O2166">
        <v>0.011</v>
      </c>
      <c s="7" r="P2166"/>
      <c s="7" r="Q2166"/>
      <c s="7" r="R2166">
        <f>IF((P2166&gt;0),O2166,0)</f>
        <v>0</v>
      </c>
      <c t="str" r="S2166">
        <f>CONCATENATE(F2166,E2166)</f>
        <v>NON FTLNON FTL</v>
      </c>
    </row>
    <row r="2167">
      <c t="s" s="7" r="A2167">
        <v>201</v>
      </c>
      <c s="7" r="B2167">
        <v>2194</v>
      </c>
      <c s="30" r="C2167">
        <v>27</v>
      </c>
      <c t="s" s="30" r="D2167">
        <v>126</v>
      </c>
      <c t="s" s="30" r="E2167">
        <v>4</v>
      </c>
      <c t="s" s="30" r="F2167">
        <v>4</v>
      </c>
      <c t="s" s="30" r="G2167">
        <v>276</v>
      </c>
      <c t="str" s="12" r="H2167">
        <f>HYPERLINK("http://sofifa.com/en/fifa13winter/player/147471-leandro-greco","L. Greco")</f>
        <v>L. Greco</v>
      </c>
      <c s="30" r="I2167">
        <v>74</v>
      </c>
      <c t="s" s="30" r="J2167">
        <v>154</v>
      </c>
      <c t="s" s="30" r="K2167">
        <v>110</v>
      </c>
      <c t="s" s="30" r="L2167">
        <v>137</v>
      </c>
      <c s="30" r="M2167">
        <v>26</v>
      </c>
      <c s="26" r="N2167">
        <v>3.1</v>
      </c>
      <c s="23" r="O2167">
        <v>0.011</v>
      </c>
      <c s="7" r="P2167"/>
      <c s="7" r="Q2167"/>
      <c s="7" r="R2167">
        <f>IF((P2167&gt;0),O2167,0)</f>
        <v>0</v>
      </c>
      <c t="str" r="S2167">
        <f>CONCATENATE(F2167,E2167)</f>
        <v>NON FTLNON FTL</v>
      </c>
    </row>
    <row r="2168">
      <c t="s" s="7" r="A2168">
        <v>201</v>
      </c>
      <c s="7" r="B2168">
        <v>2195</v>
      </c>
      <c s="30" r="C2168">
        <v>93</v>
      </c>
      <c t="s" s="30" r="D2168">
        <v>128</v>
      </c>
      <c t="s" s="30" r="E2168">
        <v>4</v>
      </c>
      <c t="s" s="30" r="F2168">
        <v>4</v>
      </c>
      <c t="s" s="30" r="G2168">
        <v>276</v>
      </c>
      <c t="str" s="12" r="H2168">
        <f>HYPERLINK("http://sofifa.com/en/fifa13winter/player/147316-djamel-abdoun","D. Abdoun")</f>
        <v>D. Abdoun</v>
      </c>
      <c s="30" r="I2168">
        <v>75</v>
      </c>
      <c t="s" s="30" r="J2168">
        <v>120</v>
      </c>
      <c t="s" s="30" r="K2168">
        <v>114</v>
      </c>
      <c t="s" s="30" r="L2168">
        <v>149</v>
      </c>
      <c s="30" r="M2168">
        <v>26</v>
      </c>
      <c s="26" r="N2168">
        <v>4.3</v>
      </c>
      <c s="23" r="O2168">
        <v>0.013</v>
      </c>
      <c s="7" r="P2168"/>
      <c s="7" r="Q2168"/>
      <c s="7" r="R2168">
        <f>IF((P2168&gt;0),O2168,0)</f>
        <v>0</v>
      </c>
      <c t="str" r="S2168">
        <f>CONCATENATE(F2168,E2168)</f>
        <v>NON FTLNON FTL</v>
      </c>
    </row>
    <row r="2169">
      <c t="s" s="7" r="A2169">
        <v>201</v>
      </c>
      <c s="7" r="B2169">
        <v>2196</v>
      </c>
      <c s="30" r="C2169">
        <v>10</v>
      </c>
      <c t="s" s="30" r="D2169">
        <v>129</v>
      </c>
      <c t="s" s="30" r="E2169">
        <v>4</v>
      </c>
      <c t="s" s="30" r="F2169">
        <v>4</v>
      </c>
      <c t="s" s="30" r="G2169">
        <v>276</v>
      </c>
      <c t="str" s="12" r="H2169">
        <f>HYPERLINK("http://sofifa.com/en/fifa13winter/player/146608-rafik-djebbour","R. Djebbour")</f>
        <v>R. Djebbour</v>
      </c>
      <c s="30" r="I2169">
        <v>77</v>
      </c>
      <c t="s" s="30" r="J2169">
        <v>129</v>
      </c>
      <c t="s" s="30" r="K2169">
        <v>132</v>
      </c>
      <c t="s" s="30" r="L2169">
        <v>138</v>
      </c>
      <c s="30" r="M2169">
        <v>28</v>
      </c>
      <c s="26" r="N2169">
        <v>6.4</v>
      </c>
      <c s="23" r="O2169">
        <v>0.017</v>
      </c>
      <c s="7" r="P2169"/>
      <c s="7" r="Q2169"/>
      <c s="7" r="R2169">
        <f>IF((P2169&gt;0),O2169,0)</f>
        <v>0</v>
      </c>
      <c t="str" r="S2169">
        <f>CONCATENATE(F2169,E2169)</f>
        <v>NON FTLNON FTL</v>
      </c>
    </row>
    <row r="2170">
      <c t="s" s="7" r="A2170">
        <v>201</v>
      </c>
      <c s="7" r="B2170">
        <v>2197</v>
      </c>
      <c s="30" r="C2170">
        <v>37</v>
      </c>
      <c t="s" s="30" r="D2170">
        <v>136</v>
      </c>
      <c t="s" s="30" r="E2170">
        <v>4</v>
      </c>
      <c t="s" s="30" r="F2170">
        <v>4</v>
      </c>
      <c t="s" s="30" r="G2170">
        <v>276</v>
      </c>
      <c t="str" s="12" r="H2170">
        <f>HYPERLINK("http://sofifa.com/en/fifa13winter/player/150211-vasilis-karagounis","V. Karagounis")</f>
        <v>V. Karagounis</v>
      </c>
      <c s="30" r="I2170">
        <v>59</v>
      </c>
      <c t="s" s="30" r="J2170">
        <v>109</v>
      </c>
      <c t="s" s="30" r="K2170">
        <v>118</v>
      </c>
      <c t="s" s="30" r="L2170">
        <v>122</v>
      </c>
      <c s="30" r="M2170">
        <v>18</v>
      </c>
      <c s="26" r="N2170">
        <v>0.4</v>
      </c>
      <c s="23" r="O2170">
        <v>0.002</v>
      </c>
      <c s="7" r="P2170"/>
      <c s="7" r="Q2170"/>
      <c s="7" r="R2170">
        <f>IF((P2170&gt;0),O2170,0)</f>
        <v>0</v>
      </c>
      <c t="str" r="S2170">
        <f>CONCATENATE(F2170,E2170)</f>
        <v>NON FTLNON FTL</v>
      </c>
    </row>
    <row r="2171">
      <c t="s" s="7" r="A2171">
        <v>201</v>
      </c>
      <c s="7" r="B2171">
        <v>2198</v>
      </c>
      <c s="30" r="C2171">
        <v>26</v>
      </c>
      <c t="s" s="30" r="D2171">
        <v>136</v>
      </c>
      <c t="s" s="30" r="E2171">
        <v>4</v>
      </c>
      <c t="s" s="30" r="F2171">
        <v>4</v>
      </c>
      <c t="s" s="30" r="G2171">
        <v>276</v>
      </c>
      <c t="str" s="12" r="H2171">
        <f>HYPERLINK("http://sofifa.com/en/fifa13winter/player/150083-charalambos-lykogiannis","C. Lykogiannis")</f>
        <v>C. Lykogiannis</v>
      </c>
      <c s="30" r="I2171">
        <v>66</v>
      </c>
      <c t="s" s="30" r="J2171">
        <v>170</v>
      </c>
      <c t="s" s="30" r="K2171">
        <v>143</v>
      </c>
      <c t="s" s="30" r="L2171">
        <v>151</v>
      </c>
      <c s="30" r="M2171">
        <v>18</v>
      </c>
      <c s="26" r="N2171">
        <v>1.5</v>
      </c>
      <c s="23" r="O2171">
        <v>0.004</v>
      </c>
      <c s="7" r="P2171"/>
      <c s="7" r="Q2171"/>
      <c s="7" r="R2171">
        <f>IF((P2171&gt;0),O2171,0)</f>
        <v>0</v>
      </c>
      <c t="str" r="S2171">
        <f>CONCATENATE(F2171,E2171)</f>
        <v>NON FTLNON FTL</v>
      </c>
    </row>
    <row r="2172">
      <c t="s" s="7" r="A2172">
        <v>201</v>
      </c>
      <c s="7" r="B2172">
        <v>2199</v>
      </c>
      <c s="30" r="C2172">
        <v>17</v>
      </c>
      <c t="s" s="30" r="D2172">
        <v>136</v>
      </c>
      <c t="s" s="30" r="E2172">
        <v>4</v>
      </c>
      <c t="s" s="30" r="F2172">
        <v>4</v>
      </c>
      <c t="s" s="30" r="G2172">
        <v>276</v>
      </c>
      <c t="str" s="12" r="H2172">
        <f>HYPERLINK("http://sofifa.com/en/fifa13winter/player/149382-panagiotis-vlachodimos","P. Vlachodimos")</f>
        <v>P. Vlachodimos</v>
      </c>
      <c s="30" r="I2172">
        <v>69</v>
      </c>
      <c t="s" s="30" r="J2172">
        <v>157</v>
      </c>
      <c t="s" s="30" r="K2172">
        <v>167</v>
      </c>
      <c t="s" s="30" r="L2172">
        <v>122</v>
      </c>
      <c s="30" r="M2172">
        <v>20</v>
      </c>
      <c s="26" r="N2172">
        <v>2.1</v>
      </c>
      <c s="23" r="O2172">
        <v>0.005</v>
      </c>
      <c s="7" r="P2172"/>
      <c s="7" r="Q2172"/>
      <c s="7" r="R2172">
        <f>IF((P2172&gt;0),O2172,0)</f>
        <v>0</v>
      </c>
      <c t="str" r="S2172">
        <f>CONCATENATE(F2172,E2172)</f>
        <v>NON FTLNON FTL</v>
      </c>
    </row>
    <row r="2173">
      <c t="s" s="7" r="A2173">
        <v>201</v>
      </c>
      <c s="7" r="B2173">
        <v>2200</v>
      </c>
      <c s="30" r="C2173">
        <v>23</v>
      </c>
      <c t="s" s="30" r="D2173">
        <v>136</v>
      </c>
      <c t="s" s="30" r="E2173">
        <v>4</v>
      </c>
      <c t="s" s="30" r="F2173">
        <v>4</v>
      </c>
      <c t="s" s="30" r="G2173">
        <v>276</v>
      </c>
      <c t="str" s="12" r="H2173">
        <f>HYPERLINK("http://sofifa.com/en/fifa13winter/player/148261-dimitris-siovas","D. Siovas")</f>
        <v>D. Siovas</v>
      </c>
      <c s="30" r="I2173">
        <v>72</v>
      </c>
      <c t="s" s="30" r="J2173">
        <v>113</v>
      </c>
      <c t="s" s="30" r="K2173">
        <v>144</v>
      </c>
      <c t="s" s="30" r="L2173">
        <v>156</v>
      </c>
      <c s="30" r="M2173">
        <v>23</v>
      </c>
      <c s="26" r="N2173">
        <v>2.9</v>
      </c>
      <c s="23" r="O2173">
        <v>0.008</v>
      </c>
      <c s="7" r="P2173"/>
      <c s="7" r="Q2173"/>
      <c s="7" r="R2173">
        <f>IF((P2173&gt;0),O2173,0)</f>
        <v>0</v>
      </c>
      <c t="str" r="S2173">
        <f>CONCATENATE(F2173,E2173)</f>
        <v>NON FTLNON FTL</v>
      </c>
    </row>
    <row r="2174">
      <c t="s" s="7" r="A2174">
        <v>201</v>
      </c>
      <c s="7" r="B2174">
        <v>2201</v>
      </c>
      <c s="30" r="C2174">
        <v>42</v>
      </c>
      <c t="s" s="30" r="D2174">
        <v>136</v>
      </c>
      <c t="s" s="30" r="E2174">
        <v>4</v>
      </c>
      <c t="s" s="30" r="F2174">
        <v>4</v>
      </c>
      <c t="s" s="30" r="G2174">
        <v>276</v>
      </c>
      <c t="str" s="12" r="H2174">
        <f>HYPERLINK("http://sofifa.com/en/fifa13winter/player/148822-balazs-megyeri","B. Megyeri")</f>
        <v>B. Megyeri</v>
      </c>
      <c s="30" r="I2174">
        <v>71</v>
      </c>
      <c t="s" s="30" r="J2174">
        <v>106</v>
      </c>
      <c t="s" s="30" r="K2174">
        <v>134</v>
      </c>
      <c t="s" s="30" r="L2174">
        <v>151</v>
      </c>
      <c s="30" r="M2174">
        <v>22</v>
      </c>
      <c s="26" r="N2174">
        <v>2</v>
      </c>
      <c s="23" r="O2174">
        <v>0.007</v>
      </c>
      <c s="7" r="P2174"/>
      <c s="7" r="Q2174"/>
      <c s="7" r="R2174">
        <f>IF((P2174&gt;0),O2174,0)</f>
        <v>0</v>
      </c>
      <c t="str" r="S2174">
        <f>CONCATENATE(F2174,E2174)</f>
        <v>NON FTLNON FTL</v>
      </c>
    </row>
    <row r="2175">
      <c t="s" s="7" r="A2175">
        <v>201</v>
      </c>
      <c s="7" r="B2175">
        <v>2202</v>
      </c>
      <c s="30" r="C2175">
        <v>6</v>
      </c>
      <c t="s" s="30" r="D2175">
        <v>136</v>
      </c>
      <c t="s" s="30" r="E2175">
        <v>4</v>
      </c>
      <c t="s" s="30" r="F2175">
        <v>4</v>
      </c>
      <c t="s" s="30" r="G2175">
        <v>276</v>
      </c>
      <c t="str" s="12" r="H2175">
        <f>HYPERLINK("http://sofifa.com/en/fifa13winter/player/148269-anastasios-papazoglou","A. Papazoglou")</f>
        <v>A. Papazoglou</v>
      </c>
      <c s="30" r="I2175">
        <v>68</v>
      </c>
      <c t="s" s="30" r="J2175">
        <v>113</v>
      </c>
      <c t="s" s="30" r="K2175">
        <v>110</v>
      </c>
      <c t="s" s="30" r="L2175">
        <v>158</v>
      </c>
      <c s="30" r="M2175">
        <v>23</v>
      </c>
      <c s="26" r="N2175">
        <v>1.6</v>
      </c>
      <c s="23" r="O2175">
        <v>0.006</v>
      </c>
      <c s="7" r="P2175"/>
      <c s="7" r="Q2175"/>
      <c s="7" r="R2175">
        <f>IF((P2175&gt;0),O2175,0)</f>
        <v>0</v>
      </c>
      <c t="str" r="S2175">
        <f>CONCATENATE(F2175,E2175)</f>
        <v>NON FTLNON FTL</v>
      </c>
    </row>
    <row r="2176">
      <c t="s" s="7" r="A2176">
        <v>201</v>
      </c>
      <c s="7" r="B2176">
        <v>2203</v>
      </c>
      <c s="30" r="C2176">
        <v>11</v>
      </c>
      <c t="s" s="30" r="D2176">
        <v>136</v>
      </c>
      <c t="s" s="30" r="E2176">
        <v>4</v>
      </c>
      <c t="s" s="30" r="F2176">
        <v>4</v>
      </c>
      <c t="s" s="30" r="G2176">
        <v>276</v>
      </c>
      <c t="str" s="12" r="H2176">
        <f>HYPERLINK("http://sofifa.com/en/fifa13winter/player/148073-konstantinos-mitroglou","K. Mitroglou")</f>
        <v>K. Mitroglou</v>
      </c>
      <c s="30" r="I2176">
        <v>76</v>
      </c>
      <c t="s" s="30" r="J2176">
        <v>129</v>
      </c>
      <c t="s" s="30" r="K2176">
        <v>134</v>
      </c>
      <c t="s" s="30" r="L2176">
        <v>180</v>
      </c>
      <c s="30" r="M2176">
        <v>24</v>
      </c>
      <c s="26" r="N2176">
        <v>6</v>
      </c>
      <c s="23" r="O2176">
        <v>0.015</v>
      </c>
      <c s="7" r="P2176"/>
      <c s="7" r="Q2176"/>
      <c s="7" r="R2176">
        <f>IF((P2176&gt;0),O2176,0)</f>
        <v>0</v>
      </c>
      <c t="str" r="S2176">
        <f>CONCATENATE(F2176,E2176)</f>
        <v>NON FTLNON FTL</v>
      </c>
    </row>
    <row r="2177">
      <c t="s" s="7" r="A2177">
        <v>201</v>
      </c>
      <c s="7" r="B2177">
        <v>2204</v>
      </c>
      <c s="30" r="C2177">
        <v>8</v>
      </c>
      <c t="s" s="30" r="D2177">
        <v>136</v>
      </c>
      <c t="s" s="30" r="E2177">
        <v>4</v>
      </c>
      <c t="s" s="30" r="F2177">
        <v>4</v>
      </c>
      <c t="s" s="30" r="G2177">
        <v>276</v>
      </c>
      <c t="str" s="12" r="H2177">
        <f>HYPERLINK("http://sofifa.com/en/fifa13winter/player/148228-ljubomir-fejsa","L. Fejsa")</f>
        <v>L. Fejsa</v>
      </c>
      <c s="30" r="I2177">
        <v>72</v>
      </c>
      <c t="s" s="30" r="J2177">
        <v>124</v>
      </c>
      <c t="s" s="30" r="K2177">
        <v>173</v>
      </c>
      <c t="s" s="30" r="L2177">
        <v>138</v>
      </c>
      <c s="30" r="M2177">
        <v>24</v>
      </c>
      <c s="26" r="N2177">
        <v>2.6</v>
      </c>
      <c s="23" r="O2177">
        <v>0.009</v>
      </c>
      <c s="7" r="P2177"/>
      <c s="7" r="Q2177"/>
      <c s="7" r="R2177">
        <f>IF((P2177&gt;0),O2177,0)</f>
        <v>0</v>
      </c>
      <c t="str" r="S2177">
        <f>CONCATENATE(F2177,E2177)</f>
        <v>NON FTLNON FTL</v>
      </c>
    </row>
    <row r="2178">
      <c t="s" s="7" r="A2178">
        <v>201</v>
      </c>
      <c s="7" r="B2178">
        <v>2205</v>
      </c>
      <c s="30" r="C2178">
        <v>9</v>
      </c>
      <c t="s" s="30" r="D2178">
        <v>136</v>
      </c>
      <c t="s" s="30" r="E2178">
        <v>4</v>
      </c>
      <c t="s" s="30" r="F2178">
        <v>4</v>
      </c>
      <c t="s" s="30" r="G2178">
        <v>276</v>
      </c>
      <c t="str" s="12" r="H2178">
        <f>HYPERLINK("http://sofifa.com/en/fifa13winter/player/144607-marko-pantelic","M. Pantelić")</f>
        <v>M. Pantelić</v>
      </c>
      <c s="30" r="I2178">
        <v>73</v>
      </c>
      <c t="s" s="30" r="J2178">
        <v>129</v>
      </c>
      <c t="s" s="30" r="K2178">
        <v>110</v>
      </c>
      <c t="s" s="30" r="L2178">
        <v>153</v>
      </c>
      <c s="30" r="M2178">
        <v>33</v>
      </c>
      <c s="26" r="N2178">
        <v>2.5</v>
      </c>
      <c s="23" r="O2178">
        <v>0.012</v>
      </c>
      <c s="7" r="P2178"/>
      <c s="7" r="Q2178"/>
      <c s="7" r="R2178">
        <f>IF((P2178&gt;0),O2178,0)</f>
        <v>0</v>
      </c>
      <c t="str" r="S2178">
        <f>CONCATENATE(F2178,E2178)</f>
        <v>NON FTLNON FTL</v>
      </c>
    </row>
    <row r="2179">
      <c t="s" s="7" r="A2179">
        <v>201</v>
      </c>
      <c s="7" r="B2179">
        <v>2206</v>
      </c>
      <c s="30" r="C2179">
        <v>19</v>
      </c>
      <c t="s" s="30" r="D2179">
        <v>136</v>
      </c>
      <c t="s" s="30" r="E2179">
        <v>4</v>
      </c>
      <c t="s" s="30" r="F2179">
        <v>4</v>
      </c>
      <c t="s" s="30" r="G2179">
        <v>276</v>
      </c>
      <c t="str" s="12" r="H2179">
        <f>HYPERLINK("http://sofifa.com/en/fifa13winter/player/145844-david-fuster-torrijos","David Fuster")</f>
        <v>David Fuster</v>
      </c>
      <c s="30" r="I2179">
        <v>75</v>
      </c>
      <c t="s" s="30" r="J2179">
        <v>162</v>
      </c>
      <c t="s" s="30" r="K2179">
        <v>118</v>
      </c>
      <c t="s" s="30" r="L2179">
        <v>142</v>
      </c>
      <c s="30" r="M2179">
        <v>30</v>
      </c>
      <c s="26" r="N2179">
        <v>4</v>
      </c>
      <c s="23" r="O2179">
        <v>0.014</v>
      </c>
      <c s="7" r="P2179"/>
      <c s="7" r="Q2179"/>
      <c s="7" r="R2179">
        <f>IF((P2179&gt;0),O2179,0)</f>
        <v>0</v>
      </c>
      <c t="str" r="S2179">
        <f>CONCATENATE(F2179,E2179)</f>
        <v>NON FTLNON FTL</v>
      </c>
    </row>
    <row r="2180">
      <c t="s" s="7" r="A2180">
        <v>201</v>
      </c>
      <c s="7" r="B2180">
        <v>2207</v>
      </c>
      <c s="30" r="C2180">
        <v>7</v>
      </c>
      <c t="s" s="30" r="D2180">
        <v>136</v>
      </c>
      <c t="s" s="30" r="E2180">
        <v>4</v>
      </c>
      <c t="s" s="30" r="F2180">
        <v>4</v>
      </c>
      <c t="s" s="30" r="G2180">
        <v>276</v>
      </c>
      <c t="str" s="12" r="H2180">
        <f>HYPERLINK("http://sofifa.com/en/fifa13winter/player/143919-ariel-ibagaza","A. Ibagaza")</f>
        <v>A. Ibagaza</v>
      </c>
      <c s="30" r="I2180">
        <v>78</v>
      </c>
      <c t="s" s="30" r="J2180">
        <v>162</v>
      </c>
      <c t="s" s="30" r="K2180">
        <v>219</v>
      </c>
      <c t="s" s="30" r="L2180">
        <v>149</v>
      </c>
      <c s="30" r="M2180">
        <v>35</v>
      </c>
      <c s="26" r="N2180">
        <v>4.7</v>
      </c>
      <c s="23" r="O2180">
        <v>0.024</v>
      </c>
      <c s="7" r="P2180"/>
      <c s="7" r="Q2180"/>
      <c s="7" r="R2180">
        <f>IF((P2180&gt;0),O2180,0)</f>
        <v>0</v>
      </c>
      <c t="str" r="S2180">
        <f>CONCATENATE(F2180,E2180)</f>
        <v>NON FTLNON FTL</v>
      </c>
    </row>
    <row r="2181">
      <c t="s" s="7" r="A2181">
        <v>201</v>
      </c>
      <c s="7" r="B2181">
        <v>2208</v>
      </c>
      <c s="30" r="C2181">
        <v>3</v>
      </c>
      <c t="s" s="30" r="D2181">
        <v>136</v>
      </c>
      <c t="s" s="30" r="E2181">
        <v>4</v>
      </c>
      <c t="s" s="30" r="F2181">
        <v>4</v>
      </c>
      <c t="s" s="30" r="G2181">
        <v>276</v>
      </c>
      <c t="str" s="12" r="H2181">
        <f>HYPERLINK("http://sofifa.com/en/fifa13winter/player/144580-francois-modesto","F. Modesto")</f>
        <v>F. Modesto</v>
      </c>
      <c s="30" r="I2181">
        <v>70</v>
      </c>
      <c t="s" s="30" r="J2181">
        <v>154</v>
      </c>
      <c t="s" s="30" r="K2181">
        <v>110</v>
      </c>
      <c t="s" s="30" r="L2181">
        <v>153</v>
      </c>
      <c s="30" r="M2181">
        <v>34</v>
      </c>
      <c s="26" r="N2181">
        <v>1.1</v>
      </c>
      <c s="23" r="O2181">
        <v>0.009</v>
      </c>
      <c s="7" r="P2181"/>
      <c s="7" r="Q2181"/>
      <c s="7" r="R2181">
        <f>IF((P2181&gt;0),O2181,0)</f>
        <v>0</v>
      </c>
      <c t="str" r="S2181">
        <f>CONCATENATE(F2181,E2181)</f>
        <v>NON FTLNON FTL</v>
      </c>
    </row>
    <row r="2182">
      <c t="s" s="7" r="A2182">
        <v>201</v>
      </c>
      <c s="7" r="B2182">
        <v>2209</v>
      </c>
      <c s="30" r="C2182">
        <v>18</v>
      </c>
      <c t="s" s="30" r="D2182">
        <v>147</v>
      </c>
      <c t="s" s="30" r="E2182">
        <v>4</v>
      </c>
      <c t="s" s="30" r="F2182">
        <v>4</v>
      </c>
      <c t="s" s="30" r="G2182">
        <v>276</v>
      </c>
      <c t="str" s="12" r="H2182">
        <f>HYPERLINK("http://sofifa.com/en/fifa13winter/player/149087-giannis-fetfatzidis","G. Fetfatzidis")</f>
        <v>G. Fetfatzidis</v>
      </c>
      <c s="30" r="I2182">
        <v>73</v>
      </c>
      <c t="s" s="30" r="J2182">
        <v>162</v>
      </c>
      <c t="s" s="30" r="K2182">
        <v>207</v>
      </c>
      <c t="s" s="30" r="L2182">
        <v>141</v>
      </c>
      <c s="30" r="M2182">
        <v>21</v>
      </c>
      <c s="26" r="N2182">
        <v>3.8</v>
      </c>
      <c s="23" r="O2182">
        <v>0.009</v>
      </c>
      <c s="7" r="P2182"/>
      <c s="7" r="Q2182"/>
      <c s="7" r="R2182">
        <f>IF((P2182&gt;0),O2182,0)</f>
        <v>0</v>
      </c>
      <c t="str" r="S2182">
        <f>CONCATENATE(F2182,E2182)</f>
        <v>NON FTLNON FTL</v>
      </c>
    </row>
    <row r="2183">
      <c t="s" s="7" r="A2183">
        <v>201</v>
      </c>
      <c s="7" r="B2183">
        <v>2210</v>
      </c>
      <c s="30" r="C2183">
        <v>45</v>
      </c>
      <c t="s" s="30" r="D2183">
        <v>147</v>
      </c>
      <c t="s" s="30" r="E2183">
        <v>4</v>
      </c>
      <c t="s" s="30" r="F2183">
        <v>4</v>
      </c>
      <c t="s" s="30" r="G2183">
        <v>276</v>
      </c>
      <c t="str" s="12" r="H2183">
        <f>HYPERLINK("http://sofifa.com/en/fifa13winter/player/150114-kostas-rougalas","K. Rougalas")</f>
        <v>K. Rougalas</v>
      </c>
      <c s="30" r="I2183">
        <v>58</v>
      </c>
      <c t="s" s="30" r="J2183">
        <v>113</v>
      </c>
      <c t="s" s="30" r="K2183">
        <v>107</v>
      </c>
      <c t="s" s="30" r="L2183">
        <v>179</v>
      </c>
      <c s="30" r="M2183">
        <v>18</v>
      </c>
      <c s="26" r="N2183">
        <v>0.3</v>
      </c>
      <c s="23" r="O2183">
        <v>0.002</v>
      </c>
      <c s="7" r="P2183"/>
      <c s="7" r="Q2183"/>
      <c s="7" r="R2183">
        <f>IF((P2183&gt;0),O2183,0)</f>
        <v>0</v>
      </c>
      <c t="str" r="S2183">
        <f>CONCATENATE(F2183,E2183)</f>
        <v>NON FTLNON FTL</v>
      </c>
    </row>
    <row r="2184">
      <c t="s" s="7" r="A2184">
        <v>201</v>
      </c>
      <c s="7" r="B2184">
        <v>2211</v>
      </c>
      <c s="30" r="C2184">
        <v>70</v>
      </c>
      <c t="s" s="30" r="D2184">
        <v>147</v>
      </c>
      <c t="s" s="30" r="E2184">
        <v>4</v>
      </c>
      <c t="s" s="30" r="F2184">
        <v>4</v>
      </c>
      <c t="s" s="30" r="G2184">
        <v>276</v>
      </c>
      <c t="str" s="12" r="H2184">
        <f>HYPERLINK("http://sofifa.com/en/fifa13winter/player/149815-andreas-giannotis","A. Giannotis")</f>
        <v>A. Giannotis</v>
      </c>
      <c s="30" r="I2184">
        <v>59</v>
      </c>
      <c t="s" s="30" r="J2184">
        <v>106</v>
      </c>
      <c t="s" s="30" r="K2184">
        <v>167</v>
      </c>
      <c t="s" s="30" r="L2184">
        <v>151</v>
      </c>
      <c s="30" r="M2184">
        <v>19</v>
      </c>
      <c s="26" r="N2184">
        <v>0.4</v>
      </c>
      <c s="23" r="O2184">
        <v>0.002</v>
      </c>
      <c s="7" r="P2184"/>
      <c s="7" r="Q2184"/>
      <c s="7" r="R2184">
        <f>IF((P2184&gt;0),O2184,0)</f>
        <v>0</v>
      </c>
      <c t="str" r="S2184">
        <f>CONCATENATE(F2184,E2184)</f>
        <v>NON FTLNON FTL</v>
      </c>
    </row>
    <row r="2185">
      <c t="s" s="7" r="A2185">
        <v>201</v>
      </c>
      <c s="7" r="B2185">
        <v>2212</v>
      </c>
      <c s="30" r="C2185">
        <v>21</v>
      </c>
      <c t="s" s="30" r="D2185">
        <v>147</v>
      </c>
      <c t="s" s="30" r="E2185">
        <v>4</v>
      </c>
      <c t="s" s="30" r="F2185">
        <v>4</v>
      </c>
      <c t="s" s="30" r="G2185">
        <v>276</v>
      </c>
      <c t="str" s="12" r="H2185">
        <f>HYPERLINK("http://sofifa.com/en/fifa13winter/player/146878-avraam-papadopoulos","A. Papadopoulos")</f>
        <v>A. Papadopoulos</v>
      </c>
      <c s="30" r="I2185">
        <v>76</v>
      </c>
      <c t="s" s="30" r="J2185">
        <v>113</v>
      </c>
      <c t="s" s="30" r="K2185">
        <v>134</v>
      </c>
      <c t="s" s="30" r="L2185">
        <v>193</v>
      </c>
      <c s="30" r="M2185">
        <v>27</v>
      </c>
      <c s="26" r="N2185">
        <v>4.7</v>
      </c>
      <c s="23" r="O2185">
        <v>0.015</v>
      </c>
      <c s="7" r="P2185"/>
      <c s="7" r="Q2185"/>
      <c s="7" r="R2185">
        <f>IF((P2185&gt;0),O2185,0)</f>
        <v>0</v>
      </c>
      <c t="str" r="S2185">
        <f>CONCATENATE(F2185,E2185)</f>
        <v>NON FTLNON FTL</v>
      </c>
    </row>
    <row r="2186">
      <c t="s" s="7" r="A2186">
        <v>201</v>
      </c>
      <c s="7" r="B2186">
        <v>2213</v>
      </c>
      <c s="30" r="C2186">
        <v>40</v>
      </c>
      <c t="s" s="30" r="D2186">
        <v>147</v>
      </c>
      <c t="s" s="30" r="E2186">
        <v>4</v>
      </c>
      <c t="s" s="30" r="F2186">
        <v>4</v>
      </c>
      <c t="s" s="30" r="G2186">
        <v>276</v>
      </c>
      <c t="str" s="12" r="H2186">
        <f>HYPERLINK("http://sofifa.com/en/fifa13winter/player/150337-aristidis-vlachos","A. Vlachos")</f>
        <v>A. Vlachos</v>
      </c>
      <c s="30" r="I2186">
        <v>56</v>
      </c>
      <c t="s" s="30" r="J2186">
        <v>106</v>
      </c>
      <c t="s" s="30" r="K2186">
        <v>155</v>
      </c>
      <c t="s" s="30" r="L2186">
        <v>158</v>
      </c>
      <c s="30" r="M2186">
        <v>18</v>
      </c>
      <c s="26" r="N2186">
        <v>0.1</v>
      </c>
      <c s="23" r="O2186">
        <v>0.002</v>
      </c>
      <c s="7" r="P2186"/>
      <c s="7" r="Q2186"/>
      <c s="7" r="R2186">
        <f>IF((P2186&gt;0),O2186,0)</f>
        <v>0</v>
      </c>
      <c t="str" r="S2186">
        <f>CONCATENATE(F2186,E2186)</f>
        <v>NON FTLNON FTL</v>
      </c>
    </row>
    <row r="2187">
      <c t="s" s="7" r="A2187">
        <v>201</v>
      </c>
      <c s="7" r="B2187">
        <v>2214</v>
      </c>
      <c s="30" r="C2187">
        <v>1</v>
      </c>
      <c t="s" s="30" r="D2187">
        <v>106</v>
      </c>
      <c t="s" s="30" r="E2187">
        <v>4</v>
      </c>
      <c t="s" s="30" r="F2187">
        <v>4</v>
      </c>
      <c t="s" s="30" r="G2187">
        <v>277</v>
      </c>
      <c t="str" s="12" r="H2187">
        <f>HYPERLINK("http://sofifa.com/en/fifa13winter/player/148872-rafael-cabral-barbosa","Rafael")</f>
        <v>Rafael</v>
      </c>
      <c s="30" r="I2187">
        <v>77</v>
      </c>
      <c t="s" s="30" r="J2187">
        <v>106</v>
      </c>
      <c t="s" s="30" r="K2187">
        <v>173</v>
      </c>
      <c t="s" s="30" r="L2187">
        <v>175</v>
      </c>
      <c s="30" r="M2187">
        <v>22</v>
      </c>
      <c s="26" r="N2187">
        <v>5.1</v>
      </c>
      <c s="23" r="O2187">
        <v>0.015</v>
      </c>
      <c s="7" r="P2187"/>
      <c s="7" r="Q2187"/>
      <c s="7" r="R2187">
        <f>IF((P2187&gt;0),O2187,0)</f>
        <v>0</v>
      </c>
      <c t="str" r="S2187">
        <f>CONCATENATE(F2187,E2187)</f>
        <v>NON FTLNON FTL</v>
      </c>
    </row>
    <row r="2188">
      <c t="s" s="7" r="A2188">
        <v>201</v>
      </c>
      <c s="7" r="B2188">
        <v>2215</v>
      </c>
      <c s="30" r="C2188">
        <v>19</v>
      </c>
      <c t="s" s="30" r="D2188">
        <v>109</v>
      </c>
      <c t="s" s="30" r="E2188">
        <v>4</v>
      </c>
      <c t="s" s="30" r="F2188">
        <v>4</v>
      </c>
      <c t="s" s="30" r="G2188">
        <v>277</v>
      </c>
      <c t="str" s="12" r="H2188">
        <f>HYPERLINK("http://sofifa.com/en/fifa13winter/player/148792-bruno-da-silva-peres","Bruno Peres")</f>
        <v>Bruno Peres</v>
      </c>
      <c s="30" r="I2188">
        <v>70</v>
      </c>
      <c t="s" s="30" r="J2188">
        <v>109</v>
      </c>
      <c t="s" s="30" r="K2188">
        <v>118</v>
      </c>
      <c t="s" s="30" r="L2188">
        <v>146</v>
      </c>
      <c s="30" r="M2188">
        <v>22</v>
      </c>
      <c s="26" r="N2188">
        <v>1.8</v>
      </c>
      <c s="23" r="O2188">
        <v>0.006</v>
      </c>
      <c s="7" r="P2188"/>
      <c s="7" r="Q2188"/>
      <c s="7" r="R2188">
        <f>IF((P2188&gt;0),O2188,0)</f>
        <v>0</v>
      </c>
      <c t="str" r="S2188">
        <f>CONCATENATE(F2188,E2188)</f>
        <v>NON FTLNON FTL</v>
      </c>
    </row>
    <row r="2189">
      <c t="s" s="7" r="A2189">
        <v>201</v>
      </c>
      <c s="7" r="B2189">
        <v>2216</v>
      </c>
      <c s="30" r="C2189">
        <v>2</v>
      </c>
      <c t="s" s="30" r="D2189">
        <v>112</v>
      </c>
      <c t="s" s="30" r="E2189">
        <v>4</v>
      </c>
      <c t="s" s="30" r="F2189">
        <v>4</v>
      </c>
      <c t="s" s="30" r="G2189">
        <v>277</v>
      </c>
      <c t="str" s="12" r="H2189">
        <f>HYPERLINK("http://sofifa.com/en/fifa13winter/player/145583-eduardo-luis-souza","Edu Dracena")</f>
        <v>Edu Dracena</v>
      </c>
      <c s="30" r="I2189">
        <v>76</v>
      </c>
      <c t="s" s="30" r="J2189">
        <v>113</v>
      </c>
      <c t="s" s="30" r="K2189">
        <v>155</v>
      </c>
      <c t="s" s="30" r="L2189">
        <v>193</v>
      </c>
      <c s="30" r="M2189">
        <v>31</v>
      </c>
      <c s="26" r="N2189">
        <v>3.9</v>
      </c>
      <c s="23" r="O2189">
        <v>0.017</v>
      </c>
      <c s="7" r="P2189"/>
      <c s="7" r="Q2189"/>
      <c s="7" r="R2189">
        <f>IF((P2189&gt;0),O2189,0)</f>
        <v>0</v>
      </c>
      <c t="str" r="S2189">
        <f>CONCATENATE(F2189,E2189)</f>
        <v>NON FTLNON FTL</v>
      </c>
    </row>
    <row r="2190">
      <c t="s" s="7" r="A2190">
        <v>201</v>
      </c>
      <c s="7" r="B2190">
        <v>2217</v>
      </c>
      <c s="30" r="C2190">
        <v>6</v>
      </c>
      <c t="s" s="30" r="D2190">
        <v>116</v>
      </c>
      <c t="s" s="30" r="E2190">
        <v>4</v>
      </c>
      <c t="s" s="30" r="F2190">
        <v>4</v>
      </c>
      <c t="s" s="30" r="G2190">
        <v>277</v>
      </c>
      <c t="str" s="12" r="H2190">
        <f>HYPERLINK("http://sofifa.com/en/fifa13winter/player/145272-severino-durval-da-silva","Durval")</f>
        <v>Durval</v>
      </c>
      <c s="30" r="I2190">
        <v>73</v>
      </c>
      <c t="s" s="30" r="J2190">
        <v>113</v>
      </c>
      <c t="s" s="30" r="K2190">
        <v>132</v>
      </c>
      <c t="s" s="30" r="L2190">
        <v>156</v>
      </c>
      <c s="30" r="M2190">
        <v>32</v>
      </c>
      <c s="26" r="N2190">
        <v>2.4</v>
      </c>
      <c s="23" r="O2190">
        <v>0.012</v>
      </c>
      <c s="7" r="P2190"/>
      <c s="7" r="Q2190"/>
      <c s="7" r="R2190">
        <f>IF((P2190&gt;0),O2190,0)</f>
        <v>0</v>
      </c>
      <c t="str" r="S2190">
        <f>CONCATENATE(F2190,E2190)</f>
        <v>NON FTLNON FTL</v>
      </c>
    </row>
    <row r="2191">
      <c t="s" s="7" r="A2191">
        <v>201</v>
      </c>
      <c s="7" r="B2191">
        <v>2218</v>
      </c>
      <c s="30" r="C2191">
        <v>37</v>
      </c>
      <c t="s" s="30" r="D2191">
        <v>117</v>
      </c>
      <c t="s" s="30" r="E2191">
        <v>4</v>
      </c>
      <c t="s" s="30" r="F2191">
        <v>4</v>
      </c>
      <c t="s" s="30" r="G2191">
        <v>277</v>
      </c>
      <c t="str" s="12" r="H2191">
        <f>HYPERLINK("http://sofifa.com/en/fifa13winter/player/148037-guilherme-oliveira-santos","Guilherme Santos")</f>
        <v>Guilherme Santos</v>
      </c>
      <c s="30" r="I2191">
        <v>68</v>
      </c>
      <c t="s" s="30" r="J2191">
        <v>117</v>
      </c>
      <c t="s" s="30" r="K2191">
        <v>145</v>
      </c>
      <c t="s" s="30" r="L2191">
        <v>161</v>
      </c>
      <c s="30" r="M2191">
        <v>24</v>
      </c>
      <c s="26" r="N2191">
        <v>1.5</v>
      </c>
      <c s="23" r="O2191">
        <v>0.006</v>
      </c>
      <c s="7" r="P2191"/>
      <c s="7" r="Q2191"/>
      <c s="7" r="R2191">
        <f>IF((P2191&gt;0),O2191,0)</f>
        <v>0</v>
      </c>
      <c t="str" r="S2191">
        <f>CONCATENATE(F2191,E2191)</f>
        <v>NON FTLNON FTL</v>
      </c>
    </row>
    <row r="2192">
      <c t="s" s="7" r="A2192">
        <v>201</v>
      </c>
      <c s="7" r="B2192">
        <v>2219</v>
      </c>
      <c s="30" r="C2192">
        <v>7</v>
      </c>
      <c t="s" s="30" r="D2192">
        <v>154</v>
      </c>
      <c t="s" s="30" r="E2192">
        <v>4</v>
      </c>
      <c t="s" s="30" r="F2192">
        <v>4</v>
      </c>
      <c t="s" s="30" r="G2192">
        <v>277</v>
      </c>
      <c t="str" s="12" r="H2192">
        <f>HYPERLINK("http://sofifa.com/en/fifa13winter/player/148626-rene-dos-santos-junior","Renê Júnior")</f>
        <v>Renê Júnior</v>
      </c>
      <c s="30" r="I2192">
        <v>70</v>
      </c>
      <c t="s" s="30" r="J2192">
        <v>154</v>
      </c>
      <c t="s" s="30" r="K2192">
        <v>145</v>
      </c>
      <c t="s" s="30" r="L2192">
        <v>151</v>
      </c>
      <c s="30" r="M2192">
        <v>22</v>
      </c>
      <c s="26" r="N2192">
        <v>1.8</v>
      </c>
      <c s="23" r="O2192">
        <v>0.006</v>
      </c>
      <c s="7" r="P2192"/>
      <c s="7" r="Q2192"/>
      <c s="7" r="R2192">
        <f>IF((P2192&gt;0),O2192,0)</f>
        <v>0</v>
      </c>
      <c t="str" r="S2192">
        <f>CONCATENATE(F2192,E2192)</f>
        <v>NON FTLNON FTL</v>
      </c>
    </row>
    <row r="2193">
      <c t="s" s="7" r="A2193">
        <v>201</v>
      </c>
      <c s="7" r="B2193">
        <v>2220</v>
      </c>
      <c s="30" r="C2193">
        <v>5</v>
      </c>
      <c t="s" s="30" r="D2193">
        <v>123</v>
      </c>
      <c t="s" s="30" r="E2193">
        <v>4</v>
      </c>
      <c t="s" s="30" r="F2193">
        <v>4</v>
      </c>
      <c t="s" s="30" r="G2193">
        <v>277</v>
      </c>
      <c t="str" s="12" r="H2193">
        <f>HYPERLINK("http://sofifa.com/en/fifa13winter/player/147494-marcos-arouca-da-silva","Arouca")</f>
        <v>Arouca</v>
      </c>
      <c s="30" r="I2193">
        <v>77</v>
      </c>
      <c t="s" s="30" r="J2193">
        <v>124</v>
      </c>
      <c t="s" s="30" r="K2193">
        <v>121</v>
      </c>
      <c t="s" s="30" r="L2193">
        <v>146</v>
      </c>
      <c s="30" r="M2193">
        <v>26</v>
      </c>
      <c s="26" r="N2193">
        <v>6</v>
      </c>
      <c s="23" r="O2193">
        <v>0.017</v>
      </c>
      <c s="7" r="P2193"/>
      <c s="7" r="Q2193"/>
      <c s="7" r="R2193">
        <f>IF((P2193&gt;0),O2193,0)</f>
        <v>0</v>
      </c>
      <c t="str" r="S2193">
        <f>CONCATENATE(F2193,E2193)</f>
        <v>NON FTLNON FTL</v>
      </c>
    </row>
    <row r="2194">
      <c t="s" s="7" r="A2194">
        <v>201</v>
      </c>
      <c s="7" r="B2194">
        <v>2221</v>
      </c>
      <c s="30" r="C2194">
        <v>8</v>
      </c>
      <c t="s" s="30" r="D2194">
        <v>126</v>
      </c>
      <c t="s" s="30" r="E2194">
        <v>4</v>
      </c>
      <c t="s" s="30" r="F2194">
        <v>4</v>
      </c>
      <c t="s" s="30" r="G2194">
        <v>277</v>
      </c>
      <c t="str" s="12" r="H2194">
        <f>HYPERLINK("http://sofifa.com/en/fifa13winter/player/146779-cicero-santos","Cícero")</f>
        <v>Cícero</v>
      </c>
      <c s="30" r="I2194">
        <v>74</v>
      </c>
      <c t="s" s="30" r="J2194">
        <v>162</v>
      </c>
      <c t="s" s="30" r="K2194">
        <v>150</v>
      </c>
      <c t="s" s="30" r="L2194">
        <v>146</v>
      </c>
      <c s="30" r="M2194">
        <v>28</v>
      </c>
      <c s="26" r="N2194">
        <v>3.7</v>
      </c>
      <c s="23" r="O2194">
        <v>0.011</v>
      </c>
      <c s="7" r="P2194"/>
      <c s="7" r="Q2194"/>
      <c s="7" r="R2194">
        <f>IF((P2194&gt;0),O2194,0)</f>
        <v>0</v>
      </c>
      <c t="str" r="S2194">
        <f>CONCATENATE(F2194,E2194)</f>
        <v>NON FTLNON FTL</v>
      </c>
    </row>
    <row r="2195">
      <c t="s" s="7" r="A2195">
        <v>201</v>
      </c>
      <c s="7" r="B2195">
        <v>2222</v>
      </c>
      <c s="30" r="C2195">
        <v>10</v>
      </c>
      <c t="s" s="30" r="D2195">
        <v>162</v>
      </c>
      <c t="s" s="30" r="E2195">
        <v>4</v>
      </c>
      <c t="s" s="30" r="F2195">
        <v>4</v>
      </c>
      <c t="s" s="30" r="G2195">
        <v>277</v>
      </c>
      <c t="str" s="12" r="H2195">
        <f>HYPERLINK("http://sofifa.com/en/fifa13winter/player/146645-walter-montillo","W. Montillo")</f>
        <v>W. Montillo</v>
      </c>
      <c s="30" r="I2195">
        <v>80</v>
      </c>
      <c t="s" s="30" r="J2195">
        <v>162</v>
      </c>
      <c t="s" s="30" r="K2195">
        <v>195</v>
      </c>
      <c t="s" s="30" r="L2195">
        <v>122</v>
      </c>
      <c s="30" r="M2195">
        <v>28</v>
      </c>
      <c s="26" r="N2195">
        <v>11.8</v>
      </c>
      <c s="23" r="O2195">
        <v>0.031</v>
      </c>
      <c s="7" r="P2195"/>
      <c s="7" r="Q2195"/>
      <c s="7" r="R2195">
        <f>IF((P2195&gt;0),O2195,0)</f>
        <v>0</v>
      </c>
      <c t="str" r="S2195">
        <f>CONCATENATE(F2195,E2195)</f>
        <v>NON FTLNON FTL</v>
      </c>
    </row>
    <row r="2196">
      <c t="s" s="7" r="A2196">
        <v>201</v>
      </c>
      <c s="7" r="B2196">
        <v>2223</v>
      </c>
      <c s="30" r="C2196">
        <v>42</v>
      </c>
      <c t="s" s="30" r="D2196">
        <v>131</v>
      </c>
      <c t="s" s="30" r="E2196">
        <v>4</v>
      </c>
      <c t="s" s="30" r="F2196">
        <v>4</v>
      </c>
      <c t="s" s="30" r="G2196">
        <v>277</v>
      </c>
      <c t="str" s="12" r="H2196">
        <f>HYPERLINK("http://sofifa.com/en/fifa13winter/player/149424-willian-jose-da-silva","Willian José")</f>
        <v>Willian José</v>
      </c>
      <c s="30" r="I2196">
        <v>71</v>
      </c>
      <c t="s" s="30" r="J2196">
        <v>129</v>
      </c>
      <c t="s" s="30" r="K2196">
        <v>173</v>
      </c>
      <c t="s" s="30" r="L2196">
        <v>108</v>
      </c>
      <c s="30" r="M2196">
        <v>20</v>
      </c>
      <c s="26" r="N2196">
        <v>3</v>
      </c>
      <c s="23" r="O2196">
        <v>0.007</v>
      </c>
      <c s="7" r="P2196"/>
      <c s="7" r="Q2196"/>
      <c s="7" r="R2196">
        <f>IF((P2196&gt;0),O2196,0)</f>
        <v>0</v>
      </c>
      <c t="str" r="S2196">
        <f>CONCATENATE(F2196,E2196)</f>
        <v>NON FTLNON FTL</v>
      </c>
    </row>
    <row r="2197">
      <c t="s" s="7" r="A2197">
        <v>201</v>
      </c>
      <c s="7" r="B2197">
        <v>2224</v>
      </c>
      <c s="30" r="C2197">
        <v>38</v>
      </c>
      <c t="s" s="30" r="D2197">
        <v>133</v>
      </c>
      <c t="s" s="30" r="E2197">
        <v>4</v>
      </c>
      <c t="s" s="30" r="F2197">
        <v>4</v>
      </c>
      <c t="s" s="30" r="G2197">
        <v>277</v>
      </c>
      <c t="str" s="12" r="H2197">
        <f>HYPERLINK("http://sofifa.com/en/fifa13winter/player/146377-ezequiel-miralles","E. Miralles")</f>
        <v>E. Miralles</v>
      </c>
      <c s="30" r="I2197">
        <v>74</v>
      </c>
      <c t="s" s="30" r="J2197">
        <v>129</v>
      </c>
      <c t="s" s="30" r="K2197">
        <v>172</v>
      </c>
      <c t="s" s="30" r="L2197">
        <v>151</v>
      </c>
      <c s="30" r="M2197">
        <v>29</v>
      </c>
      <c s="26" r="N2197">
        <v>3.6</v>
      </c>
      <c s="23" r="O2197">
        <v>0.012</v>
      </c>
      <c s="7" r="P2197"/>
      <c s="7" r="Q2197"/>
      <c s="7" r="R2197">
        <f>IF((P2197&gt;0),O2197,0)</f>
        <v>0</v>
      </c>
      <c t="str" r="S2197">
        <f>CONCATENATE(F2197,E2197)</f>
        <v>NON FTLNON FTL</v>
      </c>
    </row>
    <row r="2198">
      <c t="s" s="7" r="A2198">
        <v>201</v>
      </c>
      <c s="7" r="B2198">
        <v>2225</v>
      </c>
      <c s="30" r="C2198">
        <v>24</v>
      </c>
      <c t="s" s="30" r="D2198">
        <v>136</v>
      </c>
      <c t="s" s="30" r="E2198">
        <v>4</v>
      </c>
      <c t="s" s="30" r="F2198">
        <v>4</v>
      </c>
      <c t="s" s="30" r="G2198">
        <v>277</v>
      </c>
      <c t="str" s="12" r="H2198">
        <f>HYPERLINK("http://sofifa.com/en/fifa13winter/player/148856-patricio-rodriguez","P. Rodríguez")</f>
        <v>P. Rodríguez</v>
      </c>
      <c s="30" r="I2198">
        <v>76</v>
      </c>
      <c t="s" s="30" r="J2198">
        <v>120</v>
      </c>
      <c t="s" s="30" r="K2198">
        <v>121</v>
      </c>
      <c t="s" s="30" r="L2198">
        <v>127</v>
      </c>
      <c s="30" r="M2198">
        <v>22</v>
      </c>
      <c s="26" r="N2198">
        <v>5.5</v>
      </c>
      <c s="23" r="O2198">
        <v>0.014</v>
      </c>
      <c s="7" r="P2198"/>
      <c s="7" r="Q2198"/>
      <c s="7" r="R2198">
        <f>IF((P2198&gt;0),O2198,0)</f>
        <v>0</v>
      </c>
      <c t="str" r="S2198">
        <f>CONCATENATE(F2198,E2198)</f>
        <v>NON FTLNON FTL</v>
      </c>
    </row>
    <row r="2199">
      <c t="s" s="7" r="A2199">
        <v>201</v>
      </c>
      <c s="7" r="B2199">
        <v>2226</v>
      </c>
      <c s="30" r="C2199">
        <v>21</v>
      </c>
      <c t="s" s="30" r="D2199">
        <v>136</v>
      </c>
      <c t="s" s="30" r="E2199">
        <v>4</v>
      </c>
      <c t="s" s="30" r="F2199">
        <v>4</v>
      </c>
      <c t="s" s="30" r="G2199">
        <v>277</v>
      </c>
      <c t="str" s="12" r="H2199">
        <f>HYPERLINK("http://sofifa.com/en/fifa13winter/player/150831-victor-andrade-santos","Victor Andrade")</f>
        <v>Victor Andrade</v>
      </c>
      <c s="30" r="I2199">
        <v>67</v>
      </c>
      <c t="s" s="30" r="J2199">
        <v>171</v>
      </c>
      <c t="s" s="30" r="K2199">
        <v>195</v>
      </c>
      <c t="s" s="30" r="L2199">
        <v>127</v>
      </c>
      <c s="30" r="M2199">
        <v>16</v>
      </c>
      <c s="26" r="N2199">
        <v>2</v>
      </c>
      <c s="23" r="O2199">
        <v>0.004</v>
      </c>
      <c s="7" r="P2199"/>
      <c s="7" r="Q2199"/>
      <c s="7" r="R2199">
        <f>IF((P2199&gt;0),O2199,0)</f>
        <v>0</v>
      </c>
      <c t="str" r="S2199">
        <f>CONCATENATE(F2199,E2199)</f>
        <v>NON FTLNON FTL</v>
      </c>
    </row>
    <row r="2200">
      <c t="s" s="7" r="A2200">
        <v>201</v>
      </c>
      <c s="7" r="B2200">
        <v>2227</v>
      </c>
      <c s="30" r="C2200">
        <v>17</v>
      </c>
      <c t="s" s="30" r="D2200">
        <v>136</v>
      </c>
      <c t="s" s="30" r="E2200">
        <v>4</v>
      </c>
      <c t="s" s="30" r="F2200">
        <v>4</v>
      </c>
      <c t="s" s="30" r="G2200">
        <v>277</v>
      </c>
      <c t="str" s="12" r="H2200">
        <f>HYPERLINK("http://sofifa.com/en/fifa13winter/player/149933-felipe-anderson-pereira-gomes","Felipe Anderson")</f>
        <v>Felipe Anderson</v>
      </c>
      <c s="30" r="I2200">
        <v>72</v>
      </c>
      <c t="s" s="30" r="J2200">
        <v>162</v>
      </c>
      <c t="s" s="30" r="K2200">
        <v>118</v>
      </c>
      <c t="s" s="30" r="L2200">
        <v>125</v>
      </c>
      <c s="30" r="M2200">
        <v>19</v>
      </c>
      <c s="26" r="N2200">
        <v>3.4</v>
      </c>
      <c s="23" r="O2200">
        <v>0.007</v>
      </c>
      <c s="7" r="P2200"/>
      <c s="7" r="Q2200"/>
      <c s="7" r="R2200">
        <f>IF((P2200&gt;0),O2200,0)</f>
        <v>0</v>
      </c>
      <c t="str" r="S2200">
        <f>CONCATENATE(F2200,E2200)</f>
        <v>NON FTLNON FTL</v>
      </c>
    </row>
    <row r="2201">
      <c t="s" s="7" r="A2201">
        <v>201</v>
      </c>
      <c s="7" r="B2201">
        <v>2228</v>
      </c>
      <c s="30" r="C2201">
        <v>30</v>
      </c>
      <c t="s" s="30" r="D2201">
        <v>136</v>
      </c>
      <c t="s" s="30" r="E2201">
        <v>4</v>
      </c>
      <c t="s" s="30" r="F2201">
        <v>4</v>
      </c>
      <c t="s" s="30" r="G2201">
        <v>277</v>
      </c>
      <c t="str" s="12" r="H2201">
        <f>HYPERLINK("http://sofifa.com/en/fifa13winter/player/149531-joao-pedro-g-dos-s-galvao","João Pedro")</f>
        <v>João Pedro</v>
      </c>
      <c s="30" r="I2201">
        <v>68</v>
      </c>
      <c t="s" s="30" r="J2201">
        <v>124</v>
      </c>
      <c t="s" s="30" r="K2201">
        <v>167</v>
      </c>
      <c t="s" s="30" r="L2201">
        <v>119</v>
      </c>
      <c s="30" r="M2201">
        <v>20</v>
      </c>
      <c s="26" r="N2201">
        <v>1.7</v>
      </c>
      <c s="23" r="O2201">
        <v>0.005</v>
      </c>
      <c s="7" r="P2201"/>
      <c s="7" r="Q2201"/>
      <c s="7" r="R2201">
        <f>IF((P2201&gt;0),O2201,0)</f>
        <v>0</v>
      </c>
      <c t="str" r="S2201">
        <f>CONCATENATE(F2201,E2201)</f>
        <v>NON FTLNON FTL</v>
      </c>
    </row>
    <row r="2202">
      <c t="s" s="7" r="A2202">
        <v>201</v>
      </c>
      <c s="7" r="B2202">
        <v>2229</v>
      </c>
      <c s="30" r="C2202">
        <v>12</v>
      </c>
      <c t="s" s="30" r="D2202">
        <v>136</v>
      </c>
      <c t="s" s="30" r="E2202">
        <v>4</v>
      </c>
      <c t="s" s="30" r="F2202">
        <v>4</v>
      </c>
      <c t="s" s="30" r="G2202">
        <v>277</v>
      </c>
      <c t="str" s="12" r="H2202">
        <f>HYPERLINK("http://sofifa.com/en/fifa13winter/player/148564-vladimir-o-c-de-araujo-filho","Vladimir")</f>
        <v>Vladimir</v>
      </c>
      <c s="30" r="I2202">
        <v>67</v>
      </c>
      <c t="s" s="30" r="J2202">
        <v>106</v>
      </c>
      <c t="s" s="30" r="K2202">
        <v>152</v>
      </c>
      <c t="s" s="30" r="L2202">
        <v>185</v>
      </c>
      <c s="30" r="M2202">
        <v>23</v>
      </c>
      <c s="26" r="N2202">
        <v>1.2</v>
      </c>
      <c s="23" r="O2202">
        <v>0.005</v>
      </c>
      <c s="7" r="P2202"/>
      <c s="7" r="Q2202"/>
      <c s="7" r="R2202">
        <f>IF((P2202&gt;0),O2202,0)</f>
        <v>0</v>
      </c>
      <c t="str" r="S2202">
        <f>CONCATENATE(F2202,E2202)</f>
        <v>NON FTLNON FTL</v>
      </c>
    </row>
    <row r="2203">
      <c t="s" s="7" r="A2203">
        <v>201</v>
      </c>
      <c s="7" r="B2203">
        <v>2230</v>
      </c>
      <c s="30" r="C2203">
        <v>28</v>
      </c>
      <c t="s" s="30" r="D2203">
        <v>136</v>
      </c>
      <c t="s" s="30" r="E2203">
        <v>4</v>
      </c>
      <c t="s" s="30" r="F2203">
        <v>4</v>
      </c>
      <c t="s" s="30" r="G2203">
        <v>277</v>
      </c>
      <c t="str" s="12" r="H2203">
        <f>HYPERLINK("http://sofifa.com/en/fifa13winter/player/147134-helio-hermito-neto","Neto")</f>
        <v>Neto</v>
      </c>
      <c s="30" r="I2203">
        <v>66</v>
      </c>
      <c t="s" s="30" r="J2203">
        <v>113</v>
      </c>
      <c t="s" s="30" r="K2203">
        <v>176</v>
      </c>
      <c t="s" s="30" r="L2203">
        <v>177</v>
      </c>
      <c s="30" r="M2203">
        <v>27</v>
      </c>
      <c s="26" r="N2203">
        <v>1.2</v>
      </c>
      <c s="23" r="O2203">
        <v>0.005</v>
      </c>
      <c s="7" r="P2203"/>
      <c s="7" r="Q2203"/>
      <c s="7" r="R2203">
        <f>IF((P2203&gt;0),O2203,0)</f>
        <v>0</v>
      </c>
      <c t="str" r="S2203">
        <f>CONCATENATE(F2203,E2203)</f>
        <v>NON FTLNON FTL</v>
      </c>
    </row>
    <row r="2204">
      <c t="s" s="7" r="A2204">
        <v>201</v>
      </c>
      <c s="7" r="B2204">
        <v>2231</v>
      </c>
      <c s="30" r="C2204">
        <v>3</v>
      </c>
      <c t="s" s="30" r="D2204">
        <v>136</v>
      </c>
      <c t="s" s="30" r="E2204">
        <v>4</v>
      </c>
      <c t="s" s="30" r="F2204">
        <v>4</v>
      </c>
      <c t="s" s="30" r="G2204">
        <v>277</v>
      </c>
      <c t="str" s="12" r="H2204">
        <f>HYPERLINK("http://sofifa.com/en/fifa13winter/player/143440-leonardo-lourenco-bastos","Léo")</f>
        <v>Léo</v>
      </c>
      <c s="30" r="I2204">
        <v>69</v>
      </c>
      <c t="s" s="30" r="J2204">
        <v>117</v>
      </c>
      <c t="s" s="30" r="K2204">
        <v>205</v>
      </c>
      <c t="s" s="30" r="L2204">
        <v>163</v>
      </c>
      <c s="30" r="M2204">
        <v>37</v>
      </c>
      <c s="26" r="N2204">
        <v>0.8</v>
      </c>
      <c s="23" r="O2204">
        <v>0.008</v>
      </c>
      <c s="7" r="P2204"/>
      <c s="7" r="Q2204"/>
      <c s="7" r="R2204">
        <f>IF((P2204&gt;0),O2204,0)</f>
        <v>0</v>
      </c>
      <c t="str" r="S2204">
        <f>CONCATENATE(F2204,E2204)</f>
        <v>NON FTLNON FTL</v>
      </c>
    </row>
    <row r="2205">
      <c t="s" s="7" r="A2205">
        <v>201</v>
      </c>
      <c s="7" r="B2205">
        <v>2232</v>
      </c>
      <c s="30" r="C2205">
        <v>15</v>
      </c>
      <c t="s" s="30" r="D2205">
        <v>136</v>
      </c>
      <c t="s" s="30" r="E2205">
        <v>4</v>
      </c>
      <c t="s" s="30" r="F2205">
        <v>4</v>
      </c>
      <c t="s" s="30" r="G2205">
        <v>277</v>
      </c>
      <c t="str" s="12" r="H2205">
        <f>HYPERLINK("http://sofifa.com/en/fifa13winter/player/143825-marcos-dos-santos-assuncao","Marcos Assunção")</f>
        <v>Marcos Assunção</v>
      </c>
      <c s="30" r="I2205">
        <v>73</v>
      </c>
      <c t="s" s="30" r="J2205">
        <v>154</v>
      </c>
      <c t="s" s="30" r="K2205">
        <v>118</v>
      </c>
      <c t="s" s="30" r="L2205">
        <v>193</v>
      </c>
      <c s="30" r="M2205">
        <v>36</v>
      </c>
      <c s="26" r="N2205">
        <v>1.6</v>
      </c>
      <c s="23" r="O2205">
        <v>0.012</v>
      </c>
      <c s="7" r="P2205"/>
      <c s="7" r="Q2205"/>
      <c s="7" r="R2205">
        <f>IF((P2205&gt;0),O2205,0)</f>
        <v>0</v>
      </c>
      <c t="str" r="S2205">
        <f>CONCATENATE(F2205,E2205)</f>
        <v>NON FTLNON FTL</v>
      </c>
    </row>
    <row r="2206">
      <c t="s" s="7" r="A2206">
        <v>201</v>
      </c>
      <c s="7" r="B2206">
        <v>2233</v>
      </c>
      <c s="30" r="C2206">
        <v>23</v>
      </c>
      <c t="s" s="30" r="D2206">
        <v>136</v>
      </c>
      <c t="s" s="30" r="E2206">
        <v>4</v>
      </c>
      <c t="s" s="30" r="F2206">
        <v>4</v>
      </c>
      <c t="s" s="30" r="G2206">
        <v>277</v>
      </c>
      <c t="str" s="12" r="H2206">
        <f>HYPERLINK("http://sofifa.com/en/fifa13winter/player/145562-andre-luciano-da-silva","Pinga")</f>
        <v>Pinga</v>
      </c>
      <c s="30" r="I2206">
        <v>69</v>
      </c>
      <c t="s" s="30" r="J2206">
        <v>162</v>
      </c>
      <c t="s" s="30" r="K2206">
        <v>139</v>
      </c>
      <c t="s" s="30" r="L2206">
        <v>119</v>
      </c>
      <c s="30" r="M2206">
        <v>31</v>
      </c>
      <c s="26" r="N2206">
        <v>1.6</v>
      </c>
      <c s="23" r="O2206">
        <v>0.008</v>
      </c>
      <c s="7" r="P2206"/>
      <c s="7" r="Q2206"/>
      <c s="7" r="R2206">
        <f>IF((P2206&gt;0),O2206,0)</f>
        <v>0</v>
      </c>
      <c t="str" r="S2206">
        <f>CONCATENATE(F2206,E2206)</f>
        <v>NON FTLNON FTL</v>
      </c>
    </row>
    <row r="2207">
      <c t="s" s="7" r="A2207">
        <v>201</v>
      </c>
      <c s="7" r="B2207">
        <v>2234</v>
      </c>
      <c s="30" r="C2207">
        <v>9</v>
      </c>
      <c t="s" s="30" r="D2207">
        <v>136</v>
      </c>
      <c t="s" s="30" r="E2207">
        <v>4</v>
      </c>
      <c t="s" s="30" r="F2207">
        <v>4</v>
      </c>
      <c t="s" s="30" r="G2207">
        <v>277</v>
      </c>
      <c t="str" s="12" r="H2207">
        <f>HYPERLINK("http://sofifa.com/en/fifa13winter/player/148625-jose-henrique-da-silva-dourado","Henrique Dourado")</f>
        <v>Henrique Dourado</v>
      </c>
      <c s="30" r="I2207">
        <v>61</v>
      </c>
      <c t="s" s="30" r="J2207">
        <v>129</v>
      </c>
      <c t="s" s="30" r="K2207">
        <v>145</v>
      </c>
      <c t="s" s="30" r="L2207">
        <v>138</v>
      </c>
      <c s="30" r="M2207">
        <v>22</v>
      </c>
      <c s="26" r="N2207">
        <v>0.7</v>
      </c>
      <c s="23" r="O2207">
        <v>0.003</v>
      </c>
      <c s="7" r="P2207"/>
      <c s="7" r="Q2207"/>
      <c s="7" r="R2207">
        <f>IF((P2207&gt;0),O2207,0)</f>
        <v>0</v>
      </c>
      <c t="str" r="S2207">
        <f>CONCATENATE(F2207,E2207)</f>
        <v>NON FTLNON FTL</v>
      </c>
    </row>
    <row r="2208">
      <c t="s" s="7" r="A2208">
        <v>201</v>
      </c>
      <c s="7" r="B2208">
        <v>2235</v>
      </c>
      <c s="30" r="C2208">
        <v>33</v>
      </c>
      <c t="s" s="30" r="D2208">
        <v>136</v>
      </c>
      <c t="s" s="30" r="E2208">
        <v>4</v>
      </c>
      <c t="s" s="30" r="F2208">
        <v>4</v>
      </c>
      <c t="s" s="30" r="G2208">
        <v>277</v>
      </c>
      <c t="str" s="12" r="H2208">
        <f>HYPERLINK("http://sofifa.com/en/fifa13winter/player/145401-mario-lucio-duarte-costa","Aranha")</f>
        <v>Aranha</v>
      </c>
      <c s="30" r="I2208">
        <v>72</v>
      </c>
      <c t="s" s="30" r="J2208">
        <v>106</v>
      </c>
      <c t="s" s="30" r="K2208">
        <v>107</v>
      </c>
      <c t="s" s="30" r="L2208">
        <v>278</v>
      </c>
      <c s="30" r="M2208">
        <v>31</v>
      </c>
      <c s="26" r="N2208">
        <v>1.7</v>
      </c>
      <c s="23" r="O2208">
        <v>0.01</v>
      </c>
      <c s="7" r="P2208"/>
      <c s="7" r="Q2208"/>
      <c s="7" r="R2208">
        <f>IF((P2208&gt;0),O2208,0)</f>
        <v>0</v>
      </c>
      <c t="str" r="S2208">
        <f>CONCATENATE(F2208,E2208)</f>
        <v>NON FTLNON FTL</v>
      </c>
    </row>
    <row r="2209">
      <c t="s" s="7" r="A2209">
        <v>201</v>
      </c>
      <c s="7" r="B2209">
        <v>2236</v>
      </c>
      <c s="30" r="C2209">
        <v>4</v>
      </c>
      <c t="s" s="30" r="D2209">
        <v>136</v>
      </c>
      <c t="s" s="30" r="E2209">
        <v>4</v>
      </c>
      <c t="s" s="30" r="F2209">
        <v>4</v>
      </c>
      <c t="s" s="30" r="G2209">
        <v>277</v>
      </c>
      <c t="str" s="12" r="H2209">
        <f>HYPERLINK("http://sofifa.com/en/fifa13winter/player/149400-rafael-galhardo-de-souza","Rafael Galhardo")</f>
        <v>Rafael Galhardo</v>
      </c>
      <c s="30" r="I2209">
        <v>68</v>
      </c>
      <c t="s" s="30" r="J2209">
        <v>109</v>
      </c>
      <c t="s" s="30" r="K2209">
        <v>172</v>
      </c>
      <c t="s" s="30" r="L2209">
        <v>122</v>
      </c>
      <c s="30" r="M2209">
        <v>20</v>
      </c>
      <c s="26" r="N2209">
        <v>1.6</v>
      </c>
      <c s="23" r="O2209">
        <v>0.005</v>
      </c>
      <c s="7" r="P2209"/>
      <c s="7" r="Q2209"/>
      <c s="7" r="R2209">
        <f>IF((P2209&gt;0),O2209,0)</f>
        <v>0</v>
      </c>
      <c t="str" r="S2209">
        <f>CONCATENATE(F2209,E2209)</f>
        <v>NON FTLNON FTL</v>
      </c>
    </row>
    <row r="2210">
      <c t="s" s="7" r="A2210">
        <v>201</v>
      </c>
      <c s="7" r="B2210">
        <v>2237</v>
      </c>
      <c s="30" r="C2210">
        <v>31</v>
      </c>
      <c t="s" s="30" r="D2210">
        <v>147</v>
      </c>
      <c t="s" s="30" r="E2210">
        <v>4</v>
      </c>
      <c t="s" s="30" r="F2210">
        <v>4</v>
      </c>
      <c t="s" s="30" r="G2210">
        <v>277</v>
      </c>
      <c t="str" s="12" r="H2210">
        <f>HYPERLINK("http://sofifa.com/en/fifa13winter/player/149498-neymar-da-silva-santos-jr","Neymar")</f>
        <v>Neymar</v>
      </c>
      <c s="30" r="I2210">
        <v>83</v>
      </c>
      <c t="s" s="30" r="J2210">
        <v>129</v>
      </c>
      <c t="s" s="30" r="K2210">
        <v>182</v>
      </c>
      <c t="s" s="30" r="L2210">
        <v>149</v>
      </c>
      <c s="30" r="M2210">
        <v>20</v>
      </c>
      <c s="26" r="N2210">
        <v>25.4</v>
      </c>
      <c s="23" r="O2210">
        <v>0.057</v>
      </c>
      <c s="7" r="P2210"/>
      <c s="7" r="Q2210"/>
      <c s="7" r="R2210">
        <f>IF((P2210&gt;0),O2210,0)</f>
        <v>0</v>
      </c>
      <c t="str" r="S2210">
        <f>CONCATENATE(F2210,E2210)</f>
        <v>NON FTLNON FTL</v>
      </c>
    </row>
    <row r="2211">
      <c t="s" s="7" r="A2211">
        <v>201</v>
      </c>
      <c s="7" r="B2211">
        <v>2238</v>
      </c>
      <c s="30" r="C2211">
        <v>40</v>
      </c>
      <c t="s" s="30" r="D2211">
        <v>147</v>
      </c>
      <c t="s" s="30" r="E2211">
        <v>4</v>
      </c>
      <c t="s" s="30" r="F2211">
        <v>4</v>
      </c>
      <c t="s" s="30" r="G2211">
        <v>277</v>
      </c>
      <c t="str" s="12" r="H2211">
        <f>HYPERLINK("http://sofifa.com/en/fifa13winter/player/149819-marcos-vinicius-gomes-de-lima","Dimba")</f>
        <v>Dimba</v>
      </c>
      <c s="30" r="I2211">
        <v>68</v>
      </c>
      <c t="s" s="30" r="J2211">
        <v>129</v>
      </c>
      <c t="s" s="30" r="K2211">
        <v>145</v>
      </c>
      <c t="s" s="30" r="L2211">
        <v>151</v>
      </c>
      <c s="30" r="M2211">
        <v>19</v>
      </c>
      <c s="26" r="N2211">
        <v>2.1</v>
      </c>
      <c s="23" r="O2211">
        <v>0.005</v>
      </c>
      <c s="7" r="P2211"/>
      <c s="7" r="Q2211"/>
      <c s="7" r="R2211">
        <f>IF((P2211&gt;0),O2211,0)</f>
        <v>0</v>
      </c>
      <c t="str" r="S2211">
        <f>CONCATENATE(F2211,E2211)</f>
        <v>NON FTLNON FTL</v>
      </c>
    </row>
    <row r="2212">
      <c t="s" s="7" r="A2212">
        <v>201</v>
      </c>
      <c s="7" r="B2212">
        <v>2239</v>
      </c>
      <c s="30" r="C2212">
        <v>41</v>
      </c>
      <c t="s" s="30" r="D2212">
        <v>147</v>
      </c>
      <c t="s" s="30" r="E2212">
        <v>4</v>
      </c>
      <c t="s" s="30" r="F2212">
        <v>4</v>
      </c>
      <c t="s" s="30" r="G2212">
        <v>277</v>
      </c>
      <c t="str" s="12" r="H2212">
        <f>HYPERLINK("http://sofifa.com/en/fifa13winter/player/149558-geuvanio-santos-silva","Geuvânio")</f>
        <v>Geuvânio</v>
      </c>
      <c s="30" r="I2212">
        <v>64</v>
      </c>
      <c t="s" s="30" r="J2212">
        <v>171</v>
      </c>
      <c t="s" s="30" r="K2212">
        <v>139</v>
      </c>
      <c t="s" s="30" r="L2212">
        <v>164</v>
      </c>
      <c s="30" r="M2212">
        <v>20</v>
      </c>
      <c s="26" r="N2212">
        <v>1.2</v>
      </c>
      <c s="23" r="O2212">
        <v>0.004</v>
      </c>
      <c s="7" r="P2212"/>
      <c s="7" r="Q2212"/>
      <c s="7" r="R2212">
        <f>IF((P2212&gt;0),O2212,0)</f>
        <v>0</v>
      </c>
      <c t="str" r="S2212">
        <f>CONCATENATE(F2212,E2212)</f>
        <v>NON FTLNON FTL</v>
      </c>
    </row>
    <row r="2213">
      <c t="s" s="7" r="A2213">
        <v>201</v>
      </c>
      <c s="7" r="B2213">
        <v>2240</v>
      </c>
      <c s="30" r="C2213">
        <v>29</v>
      </c>
      <c t="s" s="30" r="D2213">
        <v>147</v>
      </c>
      <c t="s" s="30" r="E2213">
        <v>4</v>
      </c>
      <c t="s" s="30" r="F2213">
        <v>4</v>
      </c>
      <c t="s" s="30" r="G2213">
        <v>277</v>
      </c>
      <c t="str" s="12" r="H2213">
        <f>HYPERLINK("http://sofifa.com/en/fifa13winter/player/149211-alan-santos-da-silva","Alan Santos")</f>
        <v>Alan Santos</v>
      </c>
      <c s="30" r="I2213">
        <v>64</v>
      </c>
      <c t="s" s="30" r="J2213">
        <v>154</v>
      </c>
      <c t="s" s="30" r="K2213">
        <v>143</v>
      </c>
      <c t="s" s="30" r="L2213">
        <v>137</v>
      </c>
      <c s="30" r="M2213">
        <v>21</v>
      </c>
      <c s="26" r="N2213">
        <v>0.9</v>
      </c>
      <c s="23" r="O2213">
        <v>0.004</v>
      </c>
      <c s="7" r="P2213"/>
      <c s="7" r="Q2213"/>
      <c s="7" r="R2213">
        <f>IF((P2213&gt;0),O2213,0)</f>
        <v>0</v>
      </c>
      <c t="str" r="S2213">
        <f>CONCATENATE(F2213,E2213)</f>
        <v>NON FTLNON FTL</v>
      </c>
    </row>
    <row r="2214">
      <c t="s" s="7" r="A2214">
        <v>201</v>
      </c>
      <c s="7" r="B2214">
        <v>2241</v>
      </c>
      <c s="30" r="C2214">
        <v>26</v>
      </c>
      <c t="s" s="30" r="D2214">
        <v>147</v>
      </c>
      <c t="s" s="30" r="E2214">
        <v>4</v>
      </c>
      <c t="s" s="30" r="F2214">
        <v>4</v>
      </c>
      <c t="s" s="30" r="G2214">
        <v>277</v>
      </c>
      <c t="str" s="12" r="H2214">
        <f>HYPERLINK("http://sofifa.com/en/fifa13winter/player/150096-leandro-de-lima-silva","Leandrinho")</f>
        <v>Leandrinho</v>
      </c>
      <c s="30" r="I2214">
        <v>64</v>
      </c>
      <c t="s" s="30" r="J2214">
        <v>162</v>
      </c>
      <c t="s" s="30" r="K2214">
        <v>118</v>
      </c>
      <c t="s" s="30" r="L2214">
        <v>122</v>
      </c>
      <c s="30" r="M2214">
        <v>18</v>
      </c>
      <c s="26" r="N2214">
        <v>1.2</v>
      </c>
      <c s="23" r="O2214">
        <v>0.003</v>
      </c>
      <c s="7" r="P2214"/>
      <c s="7" r="Q2214"/>
      <c s="7" r="R2214">
        <f>IF((P2214&gt;0),O2214,0)</f>
        <v>0</v>
      </c>
      <c t="str" r="S2214">
        <f>CONCATENATE(F2214,E2214)</f>
        <v>NON FTLNON FTL</v>
      </c>
    </row>
    <row r="2215">
      <c t="s" s="7" r="A2215">
        <v>201</v>
      </c>
      <c s="7" r="B2215">
        <v>2242</v>
      </c>
      <c s="30" r="C2215">
        <v>36</v>
      </c>
      <c t="s" s="30" r="D2215">
        <v>147</v>
      </c>
      <c t="s" s="30" r="E2215">
        <v>4</v>
      </c>
      <c t="s" s="30" r="F2215">
        <v>4</v>
      </c>
      <c t="s" s="30" r="G2215">
        <v>277</v>
      </c>
      <c t="str" s="12" r="H2215">
        <f>HYPERLINK("http://sofifa.com/en/fifa13winter/player/149831-givanildo-pulgas-da-silva","Giva")</f>
        <v>Giva</v>
      </c>
      <c s="30" r="I2215">
        <v>64</v>
      </c>
      <c t="s" s="30" r="J2215">
        <v>129</v>
      </c>
      <c t="s" s="30" r="K2215">
        <v>173</v>
      </c>
      <c t="s" s="30" r="L2215">
        <v>160</v>
      </c>
      <c s="30" r="M2215">
        <v>19</v>
      </c>
      <c s="26" r="N2215">
        <v>1.2</v>
      </c>
      <c s="23" r="O2215">
        <v>0.004</v>
      </c>
      <c s="7" r="P2215"/>
      <c s="7" r="Q2215"/>
      <c s="7" r="R2215">
        <f>IF((P2215&gt;0),O2215,0)</f>
        <v>0</v>
      </c>
      <c t="str" r="S2215">
        <f>CONCATENATE(F2215,E2215)</f>
        <v>NON FTLNON FTL</v>
      </c>
    </row>
    <row r="2216">
      <c t="s" s="7" r="A2216">
        <v>201</v>
      </c>
      <c s="7" r="B2216">
        <v>2243</v>
      </c>
      <c s="30" r="C2216">
        <v>35</v>
      </c>
      <c t="s" s="30" r="D2216">
        <v>147</v>
      </c>
      <c t="s" s="30" r="E2216">
        <v>4</v>
      </c>
      <c t="s" s="30" r="F2216">
        <v>4</v>
      </c>
      <c t="s" s="30" r="G2216">
        <v>277</v>
      </c>
      <c t="str" s="12" r="H2216">
        <f>HYPERLINK("http://sofifa.com/en/fifa13winter/player/149864-pedro-henrique-de-castro-silva","Pedro Castro")</f>
        <v>Pedro Castro</v>
      </c>
      <c s="30" r="I2216">
        <v>66</v>
      </c>
      <c t="s" s="30" r="J2216">
        <v>162</v>
      </c>
      <c t="s" s="30" r="K2216">
        <v>114</v>
      </c>
      <c t="s" s="30" r="L2216">
        <v>138</v>
      </c>
      <c s="30" r="M2216">
        <v>19</v>
      </c>
      <c s="26" r="N2216">
        <v>1.5</v>
      </c>
      <c s="23" r="O2216">
        <v>0.004</v>
      </c>
      <c s="7" r="P2216"/>
      <c s="7" r="Q2216"/>
      <c s="7" r="R2216">
        <f>IF((P2216&gt;0),O2216,0)</f>
        <v>0</v>
      </c>
      <c t="str" r="S2216">
        <f>CONCATENATE(F2216,E2216)</f>
        <v>NON FTLNON FTL</v>
      </c>
    </row>
    <row r="2217">
      <c t="s" s="7" r="A2217">
        <v>201</v>
      </c>
      <c s="7" r="B2217">
        <v>2244</v>
      </c>
      <c s="30" r="C2217">
        <v>1</v>
      </c>
      <c t="s" s="30" r="D2217">
        <v>106</v>
      </c>
      <c t="s" s="30" r="E2217">
        <v>4</v>
      </c>
      <c t="s" s="30" r="F2217">
        <v>4</v>
      </c>
      <c t="s" s="30" r="G2217">
        <v>279</v>
      </c>
      <c t="str" s="12" r="H2217">
        <f>HYPERLINK("http://sofifa.com/en/fifa13winter/player/145353-fabio-deivson-lopes-maciel","Fábio")</f>
        <v>Fábio</v>
      </c>
      <c s="30" r="I2217">
        <v>79</v>
      </c>
      <c t="s" s="30" r="J2217">
        <v>106</v>
      </c>
      <c t="s" s="30" r="K2217">
        <v>134</v>
      </c>
      <c t="s" s="30" r="L2217">
        <v>135</v>
      </c>
      <c s="30" r="M2217">
        <v>31</v>
      </c>
      <c s="26" r="N2217">
        <v>4.8</v>
      </c>
      <c s="23" r="O2217">
        <v>0.025</v>
      </c>
      <c s="7" r="P2217"/>
      <c s="7" r="Q2217"/>
      <c s="7" r="R2217">
        <f>IF((P2217&gt;0),O2217,0)</f>
        <v>0</v>
      </c>
      <c t="str" r="S2217">
        <f>CONCATENATE(F2217,E2217)</f>
        <v>NON FTLNON FTL</v>
      </c>
    </row>
    <row r="2218">
      <c t="s" s="7" r="A2218">
        <v>201</v>
      </c>
      <c s="7" r="B2218">
        <v>2245</v>
      </c>
      <c s="30" r="C2218">
        <v>2</v>
      </c>
      <c t="s" s="30" r="D2218">
        <v>109</v>
      </c>
      <c t="s" s="30" r="E2218">
        <v>4</v>
      </c>
      <c t="s" s="30" r="F2218">
        <v>4</v>
      </c>
      <c t="s" s="30" r="G2218">
        <v>279</v>
      </c>
      <c t="str" s="12" r="H2218">
        <f>HYPERLINK("http://sofifa.com/en/fifa13winter/player/145249-marcos-venancio-de-albuquerque","Ceará")</f>
        <v>Ceará</v>
      </c>
      <c s="30" r="I2218">
        <v>72</v>
      </c>
      <c t="s" s="30" r="J2218">
        <v>109</v>
      </c>
      <c t="s" s="30" r="K2218">
        <v>139</v>
      </c>
      <c t="s" s="30" r="L2218">
        <v>183</v>
      </c>
      <c s="30" r="M2218">
        <v>32</v>
      </c>
      <c s="26" r="N2218">
        <v>1.8</v>
      </c>
      <c s="23" r="O2218">
        <v>0.011</v>
      </c>
      <c s="7" r="P2218"/>
      <c s="7" r="Q2218"/>
      <c s="7" r="R2218">
        <f>IF((P2218&gt;0),O2218,0)</f>
        <v>0</v>
      </c>
      <c t="str" r="S2218">
        <f>CONCATENATE(F2218,E2218)</f>
        <v>NON FTLNON FTL</v>
      </c>
    </row>
    <row r="2219">
      <c t="s" s="7" r="A2219">
        <v>201</v>
      </c>
      <c s="7" r="B2219">
        <v>2246</v>
      </c>
      <c s="30" r="C2219">
        <v>26</v>
      </c>
      <c t="s" s="30" r="D2219">
        <v>112</v>
      </c>
      <c t="s" s="30" r="E2219">
        <v>4</v>
      </c>
      <c t="s" s="30" r="F2219">
        <v>4</v>
      </c>
      <c t="s" s="30" r="G2219">
        <v>279</v>
      </c>
      <c t="str" s="12" r="H2219">
        <f>HYPERLINK("http://sofifa.com/en/fifa13winter/player/148184-anderson-vital-da-silva","Dedé")</f>
        <v>Dedé</v>
      </c>
      <c s="30" r="I2219">
        <v>79</v>
      </c>
      <c t="s" s="30" r="J2219">
        <v>113</v>
      </c>
      <c t="s" s="30" r="K2219">
        <v>165</v>
      </c>
      <c t="s" s="30" r="L2219">
        <v>175</v>
      </c>
      <c s="30" r="M2219">
        <v>24</v>
      </c>
      <c s="26" r="N2219">
        <v>7.9</v>
      </c>
      <c s="23" r="O2219">
        <v>0.022</v>
      </c>
      <c s="7" r="P2219"/>
      <c s="7" r="Q2219"/>
      <c s="7" r="R2219">
        <f>IF((P2219&gt;0),O2219,0)</f>
        <v>0</v>
      </c>
      <c t="str" r="S2219">
        <f>CONCATENATE(F2219,E2219)</f>
        <v>NON FTLNON FTL</v>
      </c>
    </row>
    <row r="2220">
      <c t="s" s="7" r="A2220">
        <v>201</v>
      </c>
      <c s="7" r="B2220">
        <v>2247</v>
      </c>
      <c s="30" r="C2220">
        <v>86</v>
      </c>
      <c t="s" s="30" r="D2220">
        <v>116</v>
      </c>
      <c t="s" s="30" r="E2220">
        <v>4</v>
      </c>
      <c t="s" s="30" r="F2220">
        <v>4</v>
      </c>
      <c t="s" s="30" r="G2220">
        <v>279</v>
      </c>
      <c t="str" s="12" r="H2220">
        <f>HYPERLINK("http://sofifa.com/en/fifa13winter/player/147327-paulo-marcos-de-jesus-ribeiro","Paulão")</f>
        <v>Paulão</v>
      </c>
      <c s="30" r="I2220">
        <v>73</v>
      </c>
      <c t="s" s="30" r="J2220">
        <v>113</v>
      </c>
      <c t="s" s="30" r="K2220">
        <v>155</v>
      </c>
      <c t="s" s="30" r="L2220">
        <v>193</v>
      </c>
      <c s="30" r="M2220">
        <v>26</v>
      </c>
      <c s="26" r="N2220">
        <v>3.2</v>
      </c>
      <c s="23" r="O2220">
        <v>0.01</v>
      </c>
      <c s="7" r="P2220"/>
      <c s="7" r="Q2220"/>
      <c s="7" r="R2220">
        <f>IF((P2220&gt;0),O2220,0)</f>
        <v>0</v>
      </c>
      <c t="str" r="S2220">
        <f>CONCATENATE(F2220,E2220)</f>
        <v>NON FTLNON FTL</v>
      </c>
    </row>
    <row r="2221">
      <c t="s" s="7" r="A2221">
        <v>201</v>
      </c>
      <c s="7" r="B2221">
        <v>2248</v>
      </c>
      <c s="30" r="C2221">
        <v>23</v>
      </c>
      <c t="s" s="30" r="D2221">
        <v>117</v>
      </c>
      <c t="s" s="30" r="E2221">
        <v>4</v>
      </c>
      <c t="s" s="30" r="F2221">
        <v>4</v>
      </c>
      <c t="s" s="30" r="G2221">
        <v>279</v>
      </c>
      <c t="str" s="12" r="H2221">
        <f>HYPERLINK("http://sofifa.com/en/fifa13winter/player/146761-f-everton-de-almeida-andrade","Everton")</f>
        <v>Everton</v>
      </c>
      <c s="30" r="I2221">
        <v>69</v>
      </c>
      <c t="s" s="30" r="J2221">
        <v>117</v>
      </c>
      <c t="s" s="30" r="K2221">
        <v>195</v>
      </c>
      <c t="s" s="30" r="L2221">
        <v>163</v>
      </c>
      <c s="30" r="M2221">
        <v>28</v>
      </c>
      <c s="26" r="N2221">
        <v>1.5</v>
      </c>
      <c s="23" r="O2221">
        <v>0.007</v>
      </c>
      <c s="7" r="P2221"/>
      <c s="7" r="Q2221"/>
      <c s="7" r="R2221">
        <f>IF((P2221&gt;0),O2221,0)</f>
        <v>0</v>
      </c>
      <c t="str" r="S2221">
        <f>CONCATENATE(F2221,E2221)</f>
        <v>NON FTLNON FTL</v>
      </c>
    </row>
    <row r="2222">
      <c t="s" s="7" r="A2222">
        <v>201</v>
      </c>
      <c s="7" r="B2222">
        <v>2249</v>
      </c>
      <c s="30" r="C2222">
        <v>55</v>
      </c>
      <c t="s" s="30" r="D2222">
        <v>186</v>
      </c>
      <c t="s" s="30" r="E2222">
        <v>4</v>
      </c>
      <c t="s" s="30" r="F2222">
        <v>4</v>
      </c>
      <c t="s" s="30" r="G2222">
        <v>279</v>
      </c>
      <c t="str" s="12" r="H2222">
        <f>HYPERLINK("http://sofifa.com/en/fifa13winter/player/144670-leandro-luchese-guerreiro","Leandro Guerreiro")</f>
        <v>Leandro Guerreiro</v>
      </c>
      <c s="30" r="I2222">
        <v>72</v>
      </c>
      <c t="s" s="30" r="J2222">
        <v>154</v>
      </c>
      <c t="s" s="30" r="K2222">
        <v>110</v>
      </c>
      <c t="s" s="30" r="L2222">
        <v>160</v>
      </c>
      <c s="30" r="M2222">
        <v>33</v>
      </c>
      <c s="26" r="N2222">
        <v>1.7</v>
      </c>
      <c s="23" r="O2222">
        <v>0.011</v>
      </c>
      <c s="7" r="P2222"/>
      <c s="7" r="Q2222"/>
      <c s="7" r="R2222">
        <f>IF((P2222&gt;0),O2222,0)</f>
        <v>0</v>
      </c>
      <c t="str" r="S2222">
        <f>CONCATENATE(F2222,E2222)</f>
        <v>NON FTLNON FTL</v>
      </c>
    </row>
    <row r="2223">
      <c t="s" s="7" r="A2223">
        <v>201</v>
      </c>
      <c s="7" r="B2223">
        <v>2250</v>
      </c>
      <c s="30" r="C2223">
        <v>19</v>
      </c>
      <c t="s" s="30" r="D2223">
        <v>174</v>
      </c>
      <c t="s" s="30" r="E2223">
        <v>4</v>
      </c>
      <c t="s" s="30" r="F2223">
        <v>4</v>
      </c>
      <c t="s" s="30" r="G2223">
        <v>279</v>
      </c>
      <c t="str" s="12" r="H2223">
        <f>HYPERLINK("http://sofifa.com/en/fifa13winter/player/147747-nilton-ferreira-junior","Nilton")</f>
        <v>Nilton</v>
      </c>
      <c s="30" r="I2223">
        <v>73</v>
      </c>
      <c t="s" s="30" r="J2223">
        <v>154</v>
      </c>
      <c t="s" s="30" r="K2223">
        <v>132</v>
      </c>
      <c t="s" s="30" r="L2223">
        <v>178</v>
      </c>
      <c s="30" r="M2223">
        <v>25</v>
      </c>
      <c s="26" r="N2223">
        <v>3.1</v>
      </c>
      <c s="23" r="O2223">
        <v>0.01</v>
      </c>
      <c s="7" r="P2223"/>
      <c s="7" r="Q2223"/>
      <c s="7" r="R2223">
        <f>IF((P2223&gt;0),O2223,0)</f>
        <v>0</v>
      </c>
      <c t="str" r="S2223">
        <f>CONCATENATE(F2223,E2223)</f>
        <v>NON FTLNON FTL</v>
      </c>
    </row>
    <row r="2224">
      <c t="s" s="7" r="A2224">
        <v>201</v>
      </c>
      <c s="7" r="B2224">
        <v>2251</v>
      </c>
      <c s="30" r="C2224">
        <v>17</v>
      </c>
      <c t="s" s="30" r="D2224">
        <v>234</v>
      </c>
      <c t="s" s="30" r="E2224">
        <v>4</v>
      </c>
      <c t="s" s="30" r="F2224">
        <v>4</v>
      </c>
      <c t="s" s="30" r="G2224">
        <v>279</v>
      </c>
      <c t="str" s="12" r="H2224">
        <f>HYPERLINK("http://sofifa.com/en/fifa13winter/player/148467-everton-augusto-de-barros-ribeiro","Éverton Ribeiro")</f>
        <v>Éverton Ribeiro</v>
      </c>
      <c s="30" r="I2224">
        <v>76</v>
      </c>
      <c t="s" s="30" r="J2224">
        <v>162</v>
      </c>
      <c t="s" s="30" r="K2224">
        <v>182</v>
      </c>
      <c t="s" s="30" r="L2224">
        <v>111</v>
      </c>
      <c s="30" r="M2224">
        <v>23</v>
      </c>
      <c s="26" r="N2224">
        <v>5.9</v>
      </c>
      <c s="23" r="O2224">
        <v>0.014</v>
      </c>
      <c s="7" r="P2224"/>
      <c s="7" r="Q2224"/>
      <c s="7" r="R2224">
        <f>IF((P2224&gt;0),O2224,0)</f>
        <v>0</v>
      </c>
      <c t="str" r="S2224">
        <f>CONCATENATE(F2224,E2224)</f>
        <v>NON FTLNON FTL</v>
      </c>
    </row>
    <row r="2225">
      <c t="s" s="7" r="A2225">
        <v>201</v>
      </c>
      <c s="7" r="B2225">
        <v>2252</v>
      </c>
      <c s="30" r="C2225">
        <v>10</v>
      </c>
      <c t="s" s="30" r="D2225">
        <v>162</v>
      </c>
      <c t="s" s="30" r="E2225">
        <v>4</v>
      </c>
      <c t="s" s="30" r="F2225">
        <v>4</v>
      </c>
      <c t="s" s="30" r="G2225">
        <v>279</v>
      </c>
      <c t="str" s="12" r="H2225">
        <f>HYPERLINK("http://sofifa.com/en/fifa13winter/player/147074-diego-de-souza-andrade","Diego Souza")</f>
        <v>Diego Souza</v>
      </c>
      <c s="30" r="I2225">
        <v>76</v>
      </c>
      <c t="s" s="30" r="J2225">
        <v>162</v>
      </c>
      <c t="s" s="30" r="K2225">
        <v>173</v>
      </c>
      <c t="s" s="30" r="L2225">
        <v>191</v>
      </c>
      <c s="30" r="M2225">
        <v>27</v>
      </c>
      <c s="26" r="N2225">
        <v>5.5</v>
      </c>
      <c s="23" r="O2225">
        <v>0.015</v>
      </c>
      <c s="7" r="P2225"/>
      <c s="7" r="Q2225"/>
      <c s="7" r="R2225">
        <f>IF((P2225&gt;0),O2225,0)</f>
        <v>0</v>
      </c>
      <c t="str" r="S2225">
        <f>CONCATENATE(F2225,E2225)</f>
        <v>NON FTLNON FTL</v>
      </c>
    </row>
    <row r="2226">
      <c t="s" s="7" r="A2226">
        <v>201</v>
      </c>
      <c s="7" r="B2226">
        <v>2253</v>
      </c>
      <c s="30" r="C2226">
        <v>20</v>
      </c>
      <c t="s" s="30" r="D2226">
        <v>235</v>
      </c>
      <c t="s" s="30" r="E2226">
        <v>4</v>
      </c>
      <c t="s" s="30" r="F2226">
        <v>4</v>
      </c>
      <c t="s" s="30" r="G2226">
        <v>279</v>
      </c>
      <c t="str" s="12" r="H2226">
        <f>HYPERLINK("http://sofifa.com/en/fifa13winter/player/147986-alejandro-martinuccio","A. Martinuccio")</f>
        <v>A. Martinuccio</v>
      </c>
      <c s="30" r="I2226">
        <v>74</v>
      </c>
      <c t="s" s="30" r="J2226">
        <v>171</v>
      </c>
      <c t="s" s="30" r="K2226">
        <v>159</v>
      </c>
      <c t="s" s="30" r="L2226">
        <v>119</v>
      </c>
      <c s="30" r="M2226">
        <v>24</v>
      </c>
      <c s="26" r="N2226">
        <v>4.1</v>
      </c>
      <c s="23" r="O2226">
        <v>0.011</v>
      </c>
      <c s="7" r="P2226"/>
      <c s="7" r="Q2226"/>
      <c s="7" r="R2226">
        <f>IF((P2226&gt;0),O2226,0)</f>
        <v>0</v>
      </c>
      <c t="str" r="S2226">
        <f>CONCATENATE(F2226,E2226)</f>
        <v>NON FTLNON FTL</v>
      </c>
    </row>
    <row r="2227">
      <c t="s" s="7" r="A2227">
        <v>201</v>
      </c>
      <c s="7" r="B2227">
        <v>2254</v>
      </c>
      <c s="30" r="C2227">
        <v>9</v>
      </c>
      <c t="s" s="30" r="D2227">
        <v>129</v>
      </c>
      <c t="s" s="30" r="E2227">
        <v>4</v>
      </c>
      <c t="s" s="30" r="F2227">
        <v>4</v>
      </c>
      <c t="s" s="30" r="G2227">
        <v>279</v>
      </c>
      <c t="str" s="12" r="H2227">
        <f>HYPERLINK("http://sofifa.com/en/fifa13winter/player/145358-humberlito-borges-teixeira","Borges")</f>
        <v>Borges</v>
      </c>
      <c s="30" r="I2227">
        <v>76</v>
      </c>
      <c t="s" s="30" r="J2227">
        <v>129</v>
      </c>
      <c t="s" s="30" r="K2227">
        <v>172</v>
      </c>
      <c t="s" s="30" r="L2227">
        <v>161</v>
      </c>
      <c s="30" r="M2227">
        <v>31</v>
      </c>
      <c s="26" r="N2227">
        <v>4.7</v>
      </c>
      <c s="23" r="O2227">
        <v>0.017</v>
      </c>
      <c s="7" r="P2227"/>
      <c s="7" r="Q2227"/>
      <c s="7" r="R2227">
        <f>IF((P2227&gt;0),O2227,0)</f>
        <v>0</v>
      </c>
      <c t="str" r="S2227">
        <f>CONCATENATE(F2227,E2227)</f>
        <v>NON FTLNON FTL</v>
      </c>
    </row>
    <row r="2228">
      <c t="s" s="7" r="A2228">
        <v>201</v>
      </c>
      <c s="7" r="B2228">
        <v>2255</v>
      </c>
      <c s="30" r="C2228">
        <v>13</v>
      </c>
      <c t="s" s="30" r="D2228">
        <v>136</v>
      </c>
      <c t="s" s="30" r="E2228">
        <v>4</v>
      </c>
      <c t="s" s="30" r="F2228">
        <v>4</v>
      </c>
      <c t="s" s="30" r="G2228">
        <v>279</v>
      </c>
      <c t="str" s="12" r="H2228">
        <f>HYPERLINK("http://sofifa.com/en/fifa13winter/player/148069-elierce-barbosa-de-souza","Souza")</f>
        <v>Souza</v>
      </c>
      <c s="30" r="I2228">
        <v>73</v>
      </c>
      <c t="s" s="30" r="J2228">
        <v>154</v>
      </c>
      <c t="s" s="30" r="K2228">
        <v>110</v>
      </c>
      <c t="s" s="30" r="L2228">
        <v>151</v>
      </c>
      <c s="30" r="M2228">
        <v>24</v>
      </c>
      <c s="26" r="N2228">
        <v>3.1</v>
      </c>
      <c s="23" r="O2228">
        <v>0.01</v>
      </c>
      <c s="7" r="P2228"/>
      <c s="7" r="Q2228"/>
      <c s="7" r="R2228">
        <f>IF((P2228&gt;0),O2228,0)</f>
        <v>0</v>
      </c>
      <c t="str" r="S2228">
        <f>CONCATENATE(F2228,E2228)</f>
        <v>NON FTLNON FTL</v>
      </c>
    </row>
    <row r="2229">
      <c t="s" s="7" r="A2229">
        <v>201</v>
      </c>
      <c s="7" r="B2229">
        <v>2256</v>
      </c>
      <c s="30" r="C2229">
        <v>31</v>
      </c>
      <c t="s" s="30" r="D2229">
        <v>136</v>
      </c>
      <c t="s" s="30" r="E2229">
        <v>4</v>
      </c>
      <c t="s" s="30" r="F2229">
        <v>4</v>
      </c>
      <c t="s" s="30" r="G2229">
        <v>279</v>
      </c>
      <c t="str" s="12" r="H2229">
        <f>HYPERLINK("http://sofifa.com/en/fifa13winter/player/149253-ricardo-goulart-pereira","Ricardo Goulart")</f>
        <v>Ricardo Goulart</v>
      </c>
      <c s="30" r="I2229">
        <v>73</v>
      </c>
      <c t="s" s="30" r="J2229">
        <v>171</v>
      </c>
      <c t="s" s="30" r="K2229">
        <v>118</v>
      </c>
      <c t="s" s="30" r="L2229">
        <v>146</v>
      </c>
      <c s="30" r="M2229">
        <v>21</v>
      </c>
      <c s="26" r="N2229">
        <v>3.9</v>
      </c>
      <c s="23" r="O2229">
        <v>0.009</v>
      </c>
      <c s="7" r="P2229"/>
      <c s="7" r="Q2229"/>
      <c s="7" r="R2229">
        <f>IF((P2229&gt;0),O2229,0)</f>
        <v>0</v>
      </c>
      <c t="str" r="S2229">
        <f>CONCATENATE(F2229,E2229)</f>
        <v>NON FTLNON FTL</v>
      </c>
    </row>
    <row r="2230">
      <c t="s" s="7" r="A2230">
        <v>201</v>
      </c>
      <c s="7" r="B2230">
        <v>2257</v>
      </c>
      <c s="30" r="C2230">
        <v>5</v>
      </c>
      <c t="s" s="30" r="D2230">
        <v>136</v>
      </c>
      <c t="s" s="30" r="E2230">
        <v>4</v>
      </c>
      <c t="s" s="30" r="F2230">
        <v>4</v>
      </c>
      <c t="s" s="30" r="G2230">
        <v>279</v>
      </c>
      <c t="str" s="12" r="H2230">
        <f>HYPERLINK("http://sofifa.com/en/fifa13winter/player/148025-thiago-c-de-oliveira","Thiago Carvalho")</f>
        <v>Thiago Carvalho</v>
      </c>
      <c s="30" r="I2230">
        <v>70</v>
      </c>
      <c t="s" s="30" r="J2230">
        <v>113</v>
      </c>
      <c t="s" s="30" r="K2230">
        <v>155</v>
      </c>
      <c t="s" s="30" r="L2230">
        <v>153</v>
      </c>
      <c s="30" r="M2230">
        <v>24</v>
      </c>
      <c s="26" r="N2230">
        <v>1.9</v>
      </c>
      <c s="23" r="O2230">
        <v>0.007</v>
      </c>
      <c s="7" r="P2230"/>
      <c s="7" r="Q2230"/>
      <c s="7" r="R2230">
        <f>IF((P2230&gt;0),O2230,0)</f>
        <v>0</v>
      </c>
      <c t="str" r="S2230">
        <f>CONCATENATE(F2230,E2230)</f>
        <v>NON FTLNON FTL</v>
      </c>
    </row>
    <row r="2231">
      <c t="s" s="7" r="A2231">
        <v>201</v>
      </c>
      <c s="7" r="B2231">
        <v>2258</v>
      </c>
      <c s="30" r="C2231">
        <v>27</v>
      </c>
      <c t="s" s="30" r="D2231">
        <v>136</v>
      </c>
      <c t="s" s="30" r="E2231">
        <v>4</v>
      </c>
      <c t="s" s="30" r="F2231">
        <v>4</v>
      </c>
      <c t="s" s="30" r="G2231">
        <v>279</v>
      </c>
      <c t="str" s="12" r="H2231">
        <f>HYPERLINK("http://sofifa.com/en/fifa13winter/player/149610-jose-elber-pimentel-da-silva","Elber")</f>
        <v>Elber</v>
      </c>
      <c s="30" r="I2231">
        <v>69</v>
      </c>
      <c t="s" s="30" r="J2231">
        <v>162</v>
      </c>
      <c t="s" s="30" r="K2231">
        <v>121</v>
      </c>
      <c t="s" s="30" r="L2231">
        <v>149</v>
      </c>
      <c s="30" r="M2231">
        <v>20</v>
      </c>
      <c s="26" r="N2231">
        <v>2.3</v>
      </c>
      <c s="23" r="O2231">
        <v>0.005</v>
      </c>
      <c s="7" r="P2231"/>
      <c s="7" r="Q2231"/>
      <c s="7" r="R2231">
        <f>IF((P2231&gt;0),O2231,0)</f>
        <v>0</v>
      </c>
      <c t="str" r="S2231">
        <f>CONCATENATE(F2231,E2231)</f>
        <v>NON FTLNON FTL</v>
      </c>
    </row>
    <row r="2232">
      <c t="s" s="7" r="A2232">
        <v>201</v>
      </c>
      <c s="7" r="B2232">
        <v>2259</v>
      </c>
      <c s="30" r="C2232">
        <v>99</v>
      </c>
      <c t="s" s="30" r="D2232">
        <v>136</v>
      </c>
      <c t="s" s="30" r="E2232">
        <v>4</v>
      </c>
      <c t="s" s="30" r="F2232">
        <v>4</v>
      </c>
      <c t="s" s="30" r="G2232">
        <v>279</v>
      </c>
      <c t="str" s="12" r="H2232">
        <f>HYPERLINK("http://sofifa.com/en/fifa13winter/player/148044-anselmo-ramon-alves-erculano","Anselmo Ramon")</f>
        <v>Anselmo Ramon</v>
      </c>
      <c s="30" r="I2232">
        <v>71</v>
      </c>
      <c t="s" s="30" r="J2232">
        <v>129</v>
      </c>
      <c t="s" s="30" r="K2232">
        <v>143</v>
      </c>
      <c t="s" s="30" r="L2232">
        <v>153</v>
      </c>
      <c s="30" r="M2232">
        <v>24</v>
      </c>
      <c s="26" r="N2232">
        <v>2.7</v>
      </c>
      <c s="23" r="O2232">
        <v>0.008</v>
      </c>
      <c s="7" r="P2232"/>
      <c s="7" r="Q2232"/>
      <c s="7" r="R2232">
        <f>IF((P2232&gt;0),O2232,0)</f>
        <v>0</v>
      </c>
      <c t="str" r="S2232">
        <f>CONCATENATE(F2232,E2232)</f>
        <v>NON FTLNON FTL</v>
      </c>
    </row>
    <row r="2233">
      <c t="s" s="7" r="A2233">
        <v>201</v>
      </c>
      <c s="7" r="B2233">
        <v>2260</v>
      </c>
      <c s="30" r="C2233">
        <v>3</v>
      </c>
      <c t="s" s="30" r="D2233">
        <v>136</v>
      </c>
      <c t="s" s="30" r="E2233">
        <v>4</v>
      </c>
      <c t="s" s="30" r="F2233">
        <v>4</v>
      </c>
      <c t="s" s="30" r="G2233">
        <v>279</v>
      </c>
      <c t="str" s="12" r="H2233">
        <f>HYPERLINK("http://sofifa.com/en/fifa13winter/player/148031-leonardo-renan-simoes-de-lacerda","Léo")</f>
        <v>Léo</v>
      </c>
      <c s="30" r="I2233">
        <v>71</v>
      </c>
      <c t="s" s="30" r="J2233">
        <v>113</v>
      </c>
      <c t="s" s="30" r="K2233">
        <v>167</v>
      </c>
      <c t="s" s="30" r="L2233">
        <v>179</v>
      </c>
      <c s="30" r="M2233">
        <v>24</v>
      </c>
      <c s="26" r="N2233">
        <v>2.2</v>
      </c>
      <c s="23" r="O2233">
        <v>0.008</v>
      </c>
      <c s="7" r="P2233"/>
      <c s="7" r="Q2233"/>
      <c s="7" r="R2233">
        <f>IF((P2233&gt;0),O2233,0)</f>
        <v>0</v>
      </c>
      <c t="str" r="S2233">
        <f>CONCATENATE(F2233,E2233)</f>
        <v>NON FTLNON FTL</v>
      </c>
    </row>
    <row r="2234">
      <c t="s" s="7" r="A2234">
        <v>201</v>
      </c>
      <c s="7" r="B2234">
        <v>2261</v>
      </c>
      <c s="30" r="C2234">
        <v>12</v>
      </c>
      <c t="s" s="30" r="D2234">
        <v>136</v>
      </c>
      <c t="s" s="30" r="E2234">
        <v>4</v>
      </c>
      <c t="s" s="30" r="F2234">
        <v>4</v>
      </c>
      <c t="s" s="30" r="G2234">
        <v>279</v>
      </c>
      <c t="str" s="12" r="H2234">
        <f>HYPERLINK("http://sofifa.com/en/fifa13winter/player/148541-rafael-pires-monteiro","Rafael")</f>
        <v>Rafael</v>
      </c>
      <c s="30" r="I2234">
        <v>69</v>
      </c>
      <c t="s" s="30" r="J2234">
        <v>106</v>
      </c>
      <c t="s" s="30" r="K2234">
        <v>165</v>
      </c>
      <c t="s" s="30" r="L2234">
        <v>156</v>
      </c>
      <c s="30" r="M2234">
        <v>23</v>
      </c>
      <c s="26" r="N2234">
        <v>1.5</v>
      </c>
      <c s="23" r="O2234">
        <v>0.006</v>
      </c>
      <c s="7" r="P2234"/>
      <c s="7" r="Q2234"/>
      <c s="7" r="R2234">
        <f>IF((P2234&gt;0),O2234,0)</f>
        <v>0</v>
      </c>
      <c t="str" r="S2234">
        <f>CONCATENATE(F2234,E2234)</f>
        <v>NON FTLNON FTL</v>
      </c>
    </row>
    <row r="2235">
      <c t="s" s="7" r="A2235">
        <v>201</v>
      </c>
      <c s="7" r="B2235">
        <v>2262</v>
      </c>
      <c s="30" r="C2235">
        <v>11</v>
      </c>
      <c t="s" s="30" r="D2235">
        <v>136</v>
      </c>
      <c t="s" s="30" r="E2235">
        <v>4</v>
      </c>
      <c t="s" s="30" r="F2235">
        <v>4</v>
      </c>
      <c t="s" s="30" r="G2235">
        <v>279</v>
      </c>
      <c t="str" s="12" r="H2235">
        <f>HYPERLINK("http://sofifa.com/en/fifa13winter/player/146256-dagoberto-pelentier","Dagoberto")</f>
        <v>Dagoberto</v>
      </c>
      <c s="30" r="I2235">
        <v>77</v>
      </c>
      <c t="s" s="30" r="J2235">
        <v>129</v>
      </c>
      <c t="s" s="30" r="K2235">
        <v>139</v>
      </c>
      <c t="s" s="30" r="L2235">
        <v>151</v>
      </c>
      <c s="30" r="M2235">
        <v>29</v>
      </c>
      <c s="26" r="N2235">
        <v>6.4</v>
      </c>
      <c s="23" r="O2235">
        <v>0.018</v>
      </c>
      <c s="7" r="P2235"/>
      <c s="7" r="Q2235"/>
      <c s="7" r="R2235">
        <f>IF((P2235&gt;0),O2235,0)</f>
        <v>0</v>
      </c>
      <c t="str" r="S2235">
        <f>CONCATENATE(F2235,E2235)</f>
        <v>NON FTLNON FTL</v>
      </c>
    </row>
    <row r="2236">
      <c t="s" s="7" r="A2236">
        <v>201</v>
      </c>
      <c s="7" r="B2236">
        <v>2263</v>
      </c>
      <c s="30" r="C2236">
        <v>7</v>
      </c>
      <c t="s" s="30" r="D2236">
        <v>136</v>
      </c>
      <c t="s" s="30" r="E2236">
        <v>4</v>
      </c>
      <c t="s" s="30" r="F2236">
        <v>4</v>
      </c>
      <c t="s" s="30" r="G2236">
        <v>279</v>
      </c>
      <c t="str" s="12" r="H2236">
        <f>HYPERLINK("http://sofifa.com/en/fifa13winter/player/144362-paulo-cesar-f-do-nascimenento","Tinga")</f>
        <v>Tinga</v>
      </c>
      <c s="30" r="I2236">
        <v>73</v>
      </c>
      <c t="s" s="30" r="J2236">
        <v>124</v>
      </c>
      <c t="s" s="30" r="K2236">
        <v>121</v>
      </c>
      <c t="s" s="30" r="L2236">
        <v>149</v>
      </c>
      <c s="30" r="M2236">
        <v>34</v>
      </c>
      <c s="26" r="N2236">
        <v>1.9</v>
      </c>
      <c s="23" r="O2236">
        <v>0.012</v>
      </c>
      <c s="7" r="P2236"/>
      <c s="7" r="Q2236"/>
      <c s="7" r="R2236">
        <f>IF((P2236&gt;0),O2236,0)</f>
        <v>0</v>
      </c>
      <c t="str" r="S2236">
        <f>CONCATENATE(F2236,E2236)</f>
        <v>NON FTLNON FTL</v>
      </c>
    </row>
    <row r="2237">
      <c t="s" s="7" r="A2237">
        <v>201</v>
      </c>
      <c s="7" r="B2237">
        <v>2264</v>
      </c>
      <c s="30" r="C2237">
        <v>4</v>
      </c>
      <c t="s" s="30" r="D2237">
        <v>136</v>
      </c>
      <c t="s" s="30" r="E2237">
        <v>4</v>
      </c>
      <c t="s" s="30" r="F2237">
        <v>4</v>
      </c>
      <c t="s" s="30" r="G2237">
        <v>279</v>
      </c>
      <c t="str" s="12" r="H2237">
        <f>HYPERLINK("http://sofifa.com/en/fifa13winter/player/146094-mauricio-victorino","M. Victorino")</f>
        <v>M. Victorino</v>
      </c>
      <c s="30" r="I2237">
        <v>75</v>
      </c>
      <c t="s" s="30" r="J2237">
        <v>113</v>
      </c>
      <c t="s" s="30" r="K2237">
        <v>143</v>
      </c>
      <c t="s" s="30" r="L2237">
        <v>137</v>
      </c>
      <c s="30" r="M2237">
        <v>29</v>
      </c>
      <c s="26" r="N2237">
        <v>3.7</v>
      </c>
      <c s="23" r="O2237">
        <v>0.014</v>
      </c>
      <c s="7" r="P2237"/>
      <c s="7" r="Q2237"/>
      <c s="7" r="R2237">
        <f>IF((P2237&gt;0),O2237,0)</f>
        <v>0</v>
      </c>
      <c t="str" r="S2237">
        <f>CONCATENATE(F2237,E2237)</f>
        <v>NON FTLNON FTL</v>
      </c>
    </row>
    <row r="2238">
      <c t="s" s="7" r="A2238">
        <v>201</v>
      </c>
      <c s="7" r="B2238">
        <v>2265</v>
      </c>
      <c s="30" r="C2238">
        <v>8</v>
      </c>
      <c t="s" s="30" r="D2238">
        <v>136</v>
      </c>
      <c t="s" s="30" r="E2238">
        <v>4</v>
      </c>
      <c t="s" s="30" r="F2238">
        <v>4</v>
      </c>
      <c t="s" s="30" r="G2238">
        <v>279</v>
      </c>
      <c t="str" s="12" r="H2238">
        <f>HYPERLINK("http://sofifa.com/en/fifa13winter/player/147042-henrique-pacheco-de-lima","Henrique")</f>
        <v>Henrique</v>
      </c>
      <c s="30" r="I2238">
        <v>74</v>
      </c>
      <c t="s" s="30" r="J2238">
        <v>124</v>
      </c>
      <c t="s" s="30" r="K2238">
        <v>114</v>
      </c>
      <c t="s" s="30" r="L2238">
        <v>151</v>
      </c>
      <c s="30" r="M2238">
        <v>27</v>
      </c>
      <c s="26" r="N2238">
        <v>3.2</v>
      </c>
      <c s="23" r="O2238">
        <v>0.011</v>
      </c>
      <c s="7" r="P2238"/>
      <c s="7" r="Q2238"/>
      <c s="7" r="R2238">
        <f>IF((P2238&gt;0),O2238,0)</f>
        <v>0</v>
      </c>
      <c t="str" r="S2238">
        <f>CONCATENATE(F2238,E2238)</f>
        <v>NON FTLNON FTL</v>
      </c>
    </row>
    <row r="2239">
      <c t="s" s="7" r="A2239">
        <v>201</v>
      </c>
      <c s="7" r="B2239">
        <v>2266</v>
      </c>
      <c s="30" r="C2239">
        <v>88</v>
      </c>
      <c t="s" s="30" r="D2239">
        <v>136</v>
      </c>
      <c t="s" s="30" r="E2239">
        <v>4</v>
      </c>
      <c t="s" s="30" r="F2239">
        <v>4</v>
      </c>
      <c t="s" s="30" r="G2239">
        <v>279</v>
      </c>
      <c t="str" s="12" r="H2239">
        <f>HYPERLINK("http://sofifa.com/en/fifa13winter/player/148266-luan-michel-de-louza","Luan")</f>
        <v>Luan</v>
      </c>
      <c s="30" r="I2239">
        <v>71</v>
      </c>
      <c t="s" s="30" r="J2239">
        <v>129</v>
      </c>
      <c t="s" s="30" r="K2239">
        <v>173</v>
      </c>
      <c t="s" s="30" r="L2239">
        <v>151</v>
      </c>
      <c s="30" r="M2239">
        <v>23</v>
      </c>
      <c s="26" r="N2239">
        <v>2.8</v>
      </c>
      <c s="23" r="O2239">
        <v>0.007</v>
      </c>
      <c s="7" r="P2239"/>
      <c s="7" r="Q2239"/>
      <c s="7" r="R2239">
        <f>IF((P2239&gt;0),O2239,0)</f>
        <v>0</v>
      </c>
      <c t="str" r="S2239">
        <f>CONCATENATE(F2239,E2239)</f>
        <v>NON FTLNON FTL</v>
      </c>
    </row>
    <row r="2240">
      <c t="s" s="7" r="A2240">
        <v>201</v>
      </c>
      <c s="7" r="B2240">
        <v>2267</v>
      </c>
      <c s="30" r="C2240">
        <v>18</v>
      </c>
      <c t="s" s="30" r="D2240">
        <v>147</v>
      </c>
      <c t="s" s="30" r="E2240">
        <v>4</v>
      </c>
      <c t="s" s="30" r="F2240">
        <v>4</v>
      </c>
      <c t="s" s="30" r="G2240">
        <v>279</v>
      </c>
      <c t="str" s="12" r="H2240">
        <f>HYPERLINK("http://sofifa.com/en/fifa13winter/player/148845-eliandro-dos-santos-gonzaga","Eliandro")</f>
        <v>Eliandro</v>
      </c>
      <c s="30" r="I2240">
        <v>66</v>
      </c>
      <c t="s" s="30" r="J2240">
        <v>129</v>
      </c>
      <c t="s" s="30" r="K2240">
        <v>114</v>
      </c>
      <c t="s" s="30" r="L2240">
        <v>179</v>
      </c>
      <c s="30" r="M2240">
        <v>22</v>
      </c>
      <c s="26" r="N2240">
        <v>1.5</v>
      </c>
      <c s="23" r="O2240">
        <v>0.005</v>
      </c>
      <c s="7" r="P2240"/>
      <c s="7" r="Q2240"/>
      <c s="7" r="R2240">
        <f>IF((P2240&gt;0),O2240,0)</f>
        <v>0</v>
      </c>
      <c t="str" r="S2240">
        <f>CONCATENATE(F2240,E2240)</f>
        <v>NON FTLNON FTL</v>
      </c>
    </row>
    <row r="2241">
      <c t="s" s="7" r="A2241">
        <v>201</v>
      </c>
      <c s="7" r="B2241">
        <v>2268</v>
      </c>
      <c s="30" r="C2241">
        <v>6</v>
      </c>
      <c t="s" s="30" r="D2241">
        <v>147</v>
      </c>
      <c t="s" s="30" r="E2241">
        <v>4</v>
      </c>
      <c t="s" s="30" r="F2241">
        <v>4</v>
      </c>
      <c t="s" s="30" r="G2241">
        <v>279</v>
      </c>
      <c t="str" s="12" r="H2241">
        <f>HYPERLINK("http://sofifa.com/en/fifa13winter/player/147438-egidio-araujo-junior","Egídio")</f>
        <v>Egídio</v>
      </c>
      <c s="30" r="I2241">
        <v>68</v>
      </c>
      <c t="s" s="30" r="J2241">
        <v>117</v>
      </c>
      <c t="s" s="30" r="K2241">
        <v>182</v>
      </c>
      <c t="s" s="30" r="L2241">
        <v>111</v>
      </c>
      <c s="30" r="M2241">
        <v>26</v>
      </c>
      <c s="26" r="N2241">
        <v>1.4</v>
      </c>
      <c s="23" r="O2241">
        <v>0.006</v>
      </c>
      <c s="7" r="P2241"/>
      <c s="7" r="Q2241"/>
      <c s="7" r="R2241">
        <f>IF((P2241&gt;0),O2241,0)</f>
        <v>0</v>
      </c>
      <c t="str" r="S2241">
        <f>CONCATENATE(F2241,E2241)</f>
        <v>NON FTLNON FTL</v>
      </c>
    </row>
    <row r="2242">
      <c t="s" s="7" r="A2242">
        <v>201</v>
      </c>
      <c s="7" r="B2242">
        <v>2269</v>
      </c>
      <c s="30" r="C2242">
        <v>25</v>
      </c>
      <c t="s" s="30" r="D2242">
        <v>147</v>
      </c>
      <c t="s" s="30" r="E2242">
        <v>4</v>
      </c>
      <c t="s" s="30" r="F2242">
        <v>4</v>
      </c>
      <c t="s" s="30" r="G2242">
        <v>279</v>
      </c>
      <c t="str" s="12" r="H2242">
        <f>HYPERLINK("http://sofifa.com/en/fifa13winter/player/147876-uelliton-da-silva-vieira","Uelliton")</f>
        <v>Uelliton</v>
      </c>
      <c s="30" r="I2242">
        <v>68</v>
      </c>
      <c t="s" s="30" r="J2242">
        <v>154</v>
      </c>
      <c t="s" s="30" r="K2242">
        <v>187</v>
      </c>
      <c t="s" s="30" r="L2242">
        <v>138</v>
      </c>
      <c s="30" r="M2242">
        <v>25</v>
      </c>
      <c s="26" r="N2242">
        <v>1.5</v>
      </c>
      <c s="23" r="O2242">
        <v>0.006</v>
      </c>
      <c s="7" r="P2242"/>
      <c s="7" r="Q2242"/>
      <c s="7" r="R2242">
        <f>IF((P2242&gt;0),O2242,0)</f>
        <v>0</v>
      </c>
      <c t="str" r="S2242">
        <f>CONCATENATE(F2242,E2242)</f>
        <v>NON FTLNON FTL</v>
      </c>
    </row>
    <row r="2243">
      <c t="s" s="7" r="A2243">
        <v>201</v>
      </c>
      <c s="7" r="B2243">
        <v>2270</v>
      </c>
      <c s="30" r="C2243">
        <v>15</v>
      </c>
      <c t="s" s="30" r="D2243">
        <v>147</v>
      </c>
      <c t="s" s="30" r="E2243">
        <v>4</v>
      </c>
      <c t="s" s="30" r="F2243">
        <v>4</v>
      </c>
      <c t="s" s="30" r="G2243">
        <v>279</v>
      </c>
      <c t="str" s="12" r="H2243">
        <f>HYPERLINK("http://sofifa.com/en/fifa13winter/player/146287-wellington-pereira-nascimento","Wellington Paulista")</f>
        <v>Wellington Paulista</v>
      </c>
      <c s="30" r="I2243">
        <v>72</v>
      </c>
      <c t="s" s="30" r="J2243">
        <v>129</v>
      </c>
      <c t="s" s="30" r="K2243">
        <v>114</v>
      </c>
      <c t="s" s="30" r="L2243">
        <v>160</v>
      </c>
      <c s="30" r="M2243">
        <v>29</v>
      </c>
      <c s="26" r="N2243">
        <v>2.8</v>
      </c>
      <c s="23" r="O2243">
        <v>0.009</v>
      </c>
      <c s="7" r="P2243"/>
      <c s="7" r="Q2243"/>
      <c s="7" r="R2243">
        <f>IF((P2243&gt;0),O2243,0)</f>
        <v>0</v>
      </c>
      <c t="str" r="S2243">
        <f>CONCATENATE(F2243,E2243)</f>
        <v>NON FTLNON FTL</v>
      </c>
    </row>
    <row r="2244">
      <c t="s" s="7" r="A2244">
        <v>201</v>
      </c>
      <c s="7" r="B2244">
        <v>2271</v>
      </c>
      <c s="30" r="C2244">
        <v>33</v>
      </c>
      <c t="s" s="30" r="D2244">
        <v>147</v>
      </c>
      <c t="s" s="30" r="E2244">
        <v>4</v>
      </c>
      <c t="s" s="30" r="F2244">
        <v>4</v>
      </c>
      <c t="s" s="30" r="G2244">
        <v>279</v>
      </c>
      <c t="str" s="12" r="H2244">
        <f>HYPERLINK("http://sofifa.com/en/fifa13winter/player/147008-bruno-rodrigo-fenelon-palomo","Bruno Rodrigo")</f>
        <v>Bruno Rodrigo</v>
      </c>
      <c s="30" r="I2244">
        <v>71</v>
      </c>
      <c t="s" s="30" r="J2244">
        <v>113</v>
      </c>
      <c t="s" s="30" r="K2244">
        <v>173</v>
      </c>
      <c t="s" s="30" r="L2244">
        <v>193</v>
      </c>
      <c s="30" r="M2244">
        <v>27</v>
      </c>
      <c s="26" r="N2244">
        <v>2.1</v>
      </c>
      <c s="23" r="O2244">
        <v>0.008</v>
      </c>
      <c s="7" r="P2244"/>
      <c s="7" r="Q2244"/>
      <c s="7" r="R2244">
        <f>IF((P2244&gt;0),O2244,0)</f>
        <v>0</v>
      </c>
      <c t="str" r="S2244">
        <f>CONCATENATE(F2244,E2244)</f>
        <v>NON FTLNON FTL</v>
      </c>
    </row>
    <row r="2245">
      <c t="s" s="7" r="A2245">
        <v>201</v>
      </c>
      <c s="7" r="B2245">
        <v>2272</v>
      </c>
      <c s="30" r="C2245">
        <v>28</v>
      </c>
      <c t="s" s="30" r="D2245">
        <v>147</v>
      </c>
      <c t="s" s="30" r="E2245">
        <v>4</v>
      </c>
      <c t="s" s="30" r="F2245">
        <v>4</v>
      </c>
      <c t="s" s="30" r="G2245">
        <v>279</v>
      </c>
      <c t="str" s="12" r="H2245">
        <f>HYPERLINK("http://sofifa.com/en/fifa13winter/player/148101-nirley-da-silva-fonseca","Nirley")</f>
        <v>Nirley</v>
      </c>
      <c s="30" r="I2245">
        <v>67</v>
      </c>
      <c t="s" s="30" r="J2245">
        <v>113</v>
      </c>
      <c t="s" s="30" r="K2245">
        <v>132</v>
      </c>
      <c t="s" s="30" r="L2245">
        <v>108</v>
      </c>
      <c s="30" r="M2245">
        <v>24</v>
      </c>
      <c s="26" r="N2245">
        <v>1.4</v>
      </c>
      <c s="23" r="O2245">
        <v>0.006</v>
      </c>
      <c s="7" r="P2245"/>
      <c s="7" r="Q2245"/>
      <c s="7" r="R2245">
        <f>IF((P2245&gt;0),O2245,0)</f>
        <v>0</v>
      </c>
      <c t="str" r="S2245">
        <f>CONCATENATE(F2245,E2245)</f>
        <v>NON FTLNON FTL</v>
      </c>
    </row>
    <row r="2246">
      <c t="s" s="7" r="A2246">
        <v>201</v>
      </c>
      <c s="7" r="B2246">
        <v>2273</v>
      </c>
      <c s="30" r="C2246">
        <v>30</v>
      </c>
      <c t="s" s="30" r="D2246">
        <v>147</v>
      </c>
      <c t="s" s="30" r="E2246">
        <v>4</v>
      </c>
      <c t="s" s="30" r="F2246">
        <v>4</v>
      </c>
      <c t="s" s="30" r="G2246">
        <v>279</v>
      </c>
      <c t="str" s="12" r="H2246">
        <f>HYPERLINK("http://sofifa.com/en/fifa13winter/player/149881-vinicius-vasconcelos-araujo","Vinícius Araújo")</f>
        <v>Vinícius Araújo</v>
      </c>
      <c s="30" r="I2246">
        <v>68</v>
      </c>
      <c t="s" s="30" r="J2246">
        <v>129</v>
      </c>
      <c t="s" s="30" r="K2246">
        <v>172</v>
      </c>
      <c t="s" s="30" r="L2246">
        <v>137</v>
      </c>
      <c s="30" r="M2246">
        <v>19</v>
      </c>
      <c s="26" r="N2246">
        <v>2.1</v>
      </c>
      <c s="23" r="O2246">
        <v>0.005</v>
      </c>
      <c s="7" r="P2246"/>
      <c s="7" r="Q2246"/>
      <c s="7" r="R2246">
        <f>IF((P2246&gt;0),O2246,0)</f>
        <v>0</v>
      </c>
      <c t="str" r="S2246">
        <f>CONCATENATE(F2246,E2246)</f>
        <v>NON FTLNON FTL</v>
      </c>
    </row>
    <row r="2247">
      <c t="s" s="7" r="A2247">
        <v>201</v>
      </c>
      <c s="7" r="B2247">
        <v>2274</v>
      </c>
      <c s="30" r="C2247">
        <v>1</v>
      </c>
      <c t="s" s="30" r="D2247">
        <v>106</v>
      </c>
      <c t="s" s="30" r="E2247">
        <v>4</v>
      </c>
      <c t="s" s="30" r="F2247">
        <v>4</v>
      </c>
      <c t="s" s="30" r="G2247">
        <v>280</v>
      </c>
      <c t="str" s="12" r="H2247">
        <f>HYPERLINK("http://sofifa.com/en/fifa13winter/player/147681-muriel-gustavo-becker","Muriel")</f>
        <v>Muriel</v>
      </c>
      <c s="30" r="I2247">
        <v>78</v>
      </c>
      <c t="s" s="30" r="J2247">
        <v>106</v>
      </c>
      <c t="s" s="30" r="K2247">
        <v>152</v>
      </c>
      <c t="s" s="30" r="L2247">
        <v>161</v>
      </c>
      <c s="30" r="M2247">
        <v>25</v>
      </c>
      <c s="26" r="N2247">
        <v>5.4</v>
      </c>
      <c s="23" r="O2247">
        <v>0.019</v>
      </c>
      <c s="7" r="P2247"/>
      <c s="7" r="Q2247"/>
      <c s="7" r="R2247">
        <f>IF((P2247&gt;0),O2247,0)</f>
        <v>0</v>
      </c>
      <c t="str" r="S2247">
        <f>CONCATENATE(F2247,E2247)</f>
        <v>NON FTLNON FTL</v>
      </c>
    </row>
    <row r="2248">
      <c t="s" s="7" r="A2248">
        <v>201</v>
      </c>
      <c s="7" r="B2248">
        <v>2275</v>
      </c>
      <c s="30" r="C2248">
        <v>2</v>
      </c>
      <c t="s" s="30" r="D2248">
        <v>109</v>
      </c>
      <c t="s" s="30" r="E2248">
        <v>4</v>
      </c>
      <c t="s" s="30" r="F2248">
        <v>4</v>
      </c>
      <c t="s" s="30" r="G2248">
        <v>280</v>
      </c>
      <c t="str" s="12" r="H2248">
        <f>HYPERLINK("http://sofifa.com/en/fifa13winter/player/145601-gabriel-rodr-dos-santos","Gabriel")</f>
        <v>Gabriel</v>
      </c>
      <c s="30" r="I2248">
        <v>67</v>
      </c>
      <c t="s" s="30" r="J2248">
        <v>109</v>
      </c>
      <c t="s" s="30" r="K2248">
        <v>195</v>
      </c>
      <c t="s" s="30" r="L2248">
        <v>142</v>
      </c>
      <c s="30" r="M2248">
        <v>31</v>
      </c>
      <c s="26" r="N2248">
        <v>1</v>
      </c>
      <c s="23" r="O2248">
        <v>0.006</v>
      </c>
      <c s="7" r="P2248"/>
      <c s="7" r="Q2248"/>
      <c s="7" r="R2248">
        <f>IF((P2248&gt;0),O2248,0)</f>
        <v>0</v>
      </c>
      <c t="str" r="S2248">
        <f>CONCATENATE(F2248,E2248)</f>
        <v>NON FTLNON FTL</v>
      </c>
    </row>
    <row r="2249">
      <c t="s" s="7" r="A2249">
        <v>201</v>
      </c>
      <c s="7" r="B2249">
        <v>2276</v>
      </c>
      <c s="30" r="C2249">
        <v>3</v>
      </c>
      <c t="s" s="30" r="D2249">
        <v>112</v>
      </c>
      <c t="s" s="30" r="E2249">
        <v>4</v>
      </c>
      <c t="s" s="30" r="F2249">
        <v>4</v>
      </c>
      <c t="s" s="30" r="G2249">
        <v>280</v>
      </c>
      <c t="str" s="12" r="H2249">
        <f>HYPERLINK("http://sofifa.com/en/fifa13winter/player/143298-marcos-antonio-de-lima","Índio")</f>
        <v>Índio</v>
      </c>
      <c s="30" r="I2249">
        <v>73</v>
      </c>
      <c t="s" s="30" r="J2249">
        <v>113</v>
      </c>
      <c t="s" s="30" r="K2249">
        <v>114</v>
      </c>
      <c t="s" s="30" r="L2249">
        <v>158</v>
      </c>
      <c s="30" r="M2249">
        <v>37</v>
      </c>
      <c s="26" r="N2249">
        <v>1.5</v>
      </c>
      <c s="23" r="O2249">
        <v>0.012</v>
      </c>
      <c s="7" r="P2249"/>
      <c s="7" r="Q2249"/>
      <c s="7" r="R2249">
        <f>IF((P2249&gt;0),O2249,0)</f>
        <v>0</v>
      </c>
      <c t="str" r="S2249">
        <f>CONCATENATE(F2249,E2249)</f>
        <v>NON FTLNON FTL</v>
      </c>
    </row>
    <row r="2250">
      <c t="s" s="7" r="A2250">
        <v>201</v>
      </c>
      <c s="7" r="B2250">
        <v>2277</v>
      </c>
      <c s="30" r="C2250">
        <v>4</v>
      </c>
      <c t="s" s="30" r="D2250">
        <v>116</v>
      </c>
      <c t="s" s="30" r="E2250">
        <v>4</v>
      </c>
      <c t="s" s="30" r="F2250">
        <v>4</v>
      </c>
      <c t="s" s="30" r="G2250">
        <v>280</v>
      </c>
      <c t="str" s="12" r="H2250">
        <f>HYPERLINK("http://sofifa.com/en/fifa13winter/player/144746-juan-silveira-dos-santos","Juan")</f>
        <v>Juan</v>
      </c>
      <c s="30" r="I2250">
        <v>76</v>
      </c>
      <c t="s" s="30" r="J2250">
        <v>113</v>
      </c>
      <c t="s" s="30" r="K2250">
        <v>143</v>
      </c>
      <c t="s" s="30" r="L2250">
        <v>160</v>
      </c>
      <c s="30" r="M2250">
        <v>33</v>
      </c>
      <c s="26" r="N2250">
        <v>3.4</v>
      </c>
      <c s="23" r="O2250">
        <v>0.018</v>
      </c>
      <c s="7" r="P2250"/>
      <c s="7" r="Q2250"/>
      <c s="7" r="R2250">
        <f>IF((P2250&gt;0),O2250,0)</f>
        <v>0</v>
      </c>
      <c t="str" r="S2250">
        <f>CONCATENATE(F2250,E2250)</f>
        <v>NON FTLNON FTL</v>
      </c>
    </row>
    <row r="2251">
      <c t="s" s="7" r="A2251">
        <v>201</v>
      </c>
      <c s="7" r="B2251">
        <v>2278</v>
      </c>
      <c s="30" r="C2251">
        <v>14</v>
      </c>
      <c t="s" s="30" r="D2251">
        <v>117</v>
      </c>
      <c t="s" s="30" r="E2251">
        <v>4</v>
      </c>
      <c t="s" s="30" r="F2251">
        <v>4</v>
      </c>
      <c t="s" s="30" r="G2251">
        <v>280</v>
      </c>
      <c t="str" s="12" r="H2251">
        <f>HYPERLINK("http://sofifa.com/en/fifa13winter/player/147647-fabricio-dos-santos-silva","Fabrício")</f>
        <v>Fabrício</v>
      </c>
      <c s="30" r="I2251">
        <v>68</v>
      </c>
      <c t="s" s="30" r="J2251">
        <v>117</v>
      </c>
      <c t="s" s="30" r="K2251">
        <v>167</v>
      </c>
      <c t="s" s="30" r="L2251">
        <v>146</v>
      </c>
      <c s="30" r="M2251">
        <v>25</v>
      </c>
      <c s="26" r="N2251">
        <v>1.5</v>
      </c>
      <c s="23" r="O2251">
        <v>0.006</v>
      </c>
      <c s="7" r="P2251"/>
      <c s="7" r="Q2251"/>
      <c s="7" r="R2251">
        <f>IF((P2251&gt;0),O2251,0)</f>
        <v>0</v>
      </c>
      <c t="str" r="S2251">
        <f>CONCATENATE(F2251,E2251)</f>
        <v>NON FTLNON FTL</v>
      </c>
    </row>
    <row r="2252">
      <c t="s" s="7" r="A2252">
        <v>201</v>
      </c>
      <c s="7" r="B2252">
        <v>2279</v>
      </c>
      <c s="30" r="C2252">
        <v>8</v>
      </c>
      <c t="s" s="30" r="D2252">
        <v>186</v>
      </c>
      <c t="s" s="30" r="E2252">
        <v>4</v>
      </c>
      <c t="s" s="30" r="F2252">
        <v>4</v>
      </c>
      <c t="s" s="30" r="G2252">
        <v>280</v>
      </c>
      <c t="str" s="12" r="H2252">
        <f>HYPERLINK("http://sofifa.com/en/fifa13winter/player/147300-willians-domingos-fernandes","Willians")</f>
        <v>Willians</v>
      </c>
      <c s="30" r="I2252">
        <v>76</v>
      </c>
      <c t="s" s="30" r="J2252">
        <v>154</v>
      </c>
      <c t="s" s="30" r="K2252">
        <v>139</v>
      </c>
      <c t="s" s="30" r="L2252">
        <v>151</v>
      </c>
      <c s="30" r="M2252">
        <v>26</v>
      </c>
      <c s="26" r="N2252">
        <v>4.5</v>
      </c>
      <c s="23" r="O2252">
        <v>0.015</v>
      </c>
      <c s="7" r="P2252"/>
      <c s="7" r="Q2252"/>
      <c s="7" r="R2252">
        <f>IF((P2252&gt;0),O2252,0)</f>
        <v>0</v>
      </c>
      <c t="str" r="S2252">
        <f>CONCATENATE(F2252,E2252)</f>
        <v>NON FTLNON FTL</v>
      </c>
    </row>
    <row r="2253">
      <c t="s" s="7" r="A2253">
        <v>201</v>
      </c>
      <c s="7" r="B2253">
        <v>2280</v>
      </c>
      <c s="30" r="C2253">
        <v>5</v>
      </c>
      <c t="s" s="30" r="D2253">
        <v>174</v>
      </c>
      <c t="s" s="30" r="E2253">
        <v>4</v>
      </c>
      <c t="s" s="30" r="F2253">
        <v>4</v>
      </c>
      <c t="s" s="30" r="G2253">
        <v>280</v>
      </c>
      <c t="str" s="12" r="H2253">
        <f>HYPERLINK("http://sofifa.com/en/fifa13winter/player/148784-airton-ribeiro-santos","Airton")</f>
        <v>Airton</v>
      </c>
      <c s="30" r="I2253">
        <v>71</v>
      </c>
      <c t="s" s="30" r="J2253">
        <v>154</v>
      </c>
      <c t="s" s="30" r="K2253">
        <v>143</v>
      </c>
      <c t="s" s="30" r="L2253">
        <v>138</v>
      </c>
      <c s="30" r="M2253">
        <v>22</v>
      </c>
      <c s="26" r="N2253">
        <v>2.2</v>
      </c>
      <c s="23" r="O2253">
        <v>0.007</v>
      </c>
      <c s="7" r="P2253"/>
      <c s="7" r="Q2253"/>
      <c s="7" r="R2253">
        <f>IF((P2253&gt;0),O2253,0)</f>
        <v>0</v>
      </c>
      <c t="str" r="S2253">
        <f>CONCATENATE(F2253,E2253)</f>
        <v>NON FTLNON FTL</v>
      </c>
    </row>
    <row r="2254">
      <c t="s" s="7" r="A2254">
        <v>201</v>
      </c>
      <c s="7" r="B2254">
        <v>2281</v>
      </c>
      <c s="30" r="C2254">
        <v>10</v>
      </c>
      <c t="s" s="30" r="D2254">
        <v>234</v>
      </c>
      <c t="s" s="30" r="E2254">
        <v>4</v>
      </c>
      <c t="s" s="30" r="F2254">
        <v>4</v>
      </c>
      <c t="s" s="30" r="G2254">
        <v>280</v>
      </c>
      <c t="str" s="12" r="H2254">
        <f>HYPERLINK("http://sofifa.com/en/fifa13winter/player/145550-andres-dalessandro","A. D'Alessandro")</f>
        <v>A. D'Alessandro</v>
      </c>
      <c s="30" r="I2254">
        <v>80</v>
      </c>
      <c t="s" s="30" r="J2254">
        <v>162</v>
      </c>
      <c t="s" s="30" r="K2254">
        <v>182</v>
      </c>
      <c t="s" s="30" r="L2254">
        <v>115</v>
      </c>
      <c s="30" r="M2254">
        <v>31</v>
      </c>
      <c s="26" r="N2254">
        <v>9.5</v>
      </c>
      <c s="23" r="O2254">
        <v>0.035</v>
      </c>
      <c s="7" r="P2254"/>
      <c s="7" r="Q2254"/>
      <c s="7" r="R2254">
        <f>IF((P2254&gt;0),O2254,0)</f>
        <v>0</v>
      </c>
      <c t="str" r="S2254">
        <f>CONCATENATE(F2254,E2254)</f>
        <v>NON FTLNON FTL</v>
      </c>
    </row>
    <row r="2255">
      <c t="s" s="7" r="A2255">
        <v>201</v>
      </c>
      <c s="7" r="B2255">
        <v>2282</v>
      </c>
      <c s="30" r="C2255">
        <v>23</v>
      </c>
      <c t="s" s="30" r="D2255">
        <v>235</v>
      </c>
      <c t="s" s="30" r="E2255">
        <v>4</v>
      </c>
      <c t="s" s="30" r="F2255">
        <v>4</v>
      </c>
      <c t="s" s="30" r="G2255">
        <v>280</v>
      </c>
      <c t="str" s="12" r="H2255">
        <f>HYPERLINK("http://sofifa.com/en/fifa13winter/player/146680-jesus-datolo","J. Dátolo")</f>
        <v>J. Dátolo</v>
      </c>
      <c s="30" r="I2255">
        <v>73</v>
      </c>
      <c t="s" s="30" r="J2255">
        <v>170</v>
      </c>
      <c t="s" s="30" r="K2255">
        <v>159</v>
      </c>
      <c t="s" s="30" r="L2255">
        <v>146</v>
      </c>
      <c s="30" r="M2255">
        <v>28</v>
      </c>
      <c s="26" r="N2255">
        <v>3.1</v>
      </c>
      <c s="23" r="O2255">
        <v>0.01</v>
      </c>
      <c s="7" r="P2255"/>
      <c s="7" r="Q2255"/>
      <c s="7" r="R2255">
        <f>IF((P2255&gt;0),O2255,0)</f>
        <v>0</v>
      </c>
      <c t="str" r="S2255">
        <f>CONCATENATE(F2255,E2255)</f>
        <v>NON FTLNON FTL</v>
      </c>
    </row>
    <row r="2256">
      <c t="s" s="7" r="A2256">
        <v>201</v>
      </c>
      <c s="7" r="B2256">
        <v>2283</v>
      </c>
      <c s="30" r="C2256">
        <v>7</v>
      </c>
      <c t="s" s="30" r="D2256">
        <v>131</v>
      </c>
      <c t="s" s="30" r="E2256">
        <v>4</v>
      </c>
      <c t="s" s="30" r="F2256">
        <v>4</v>
      </c>
      <c t="s" s="30" r="G2256">
        <v>280</v>
      </c>
      <c t="str" s="12" r="H2256">
        <f>HYPERLINK("http://sofifa.com/en/fifa13winter/player/144853-diego-forlan","D. Forlán")</f>
        <v>D. Forlán</v>
      </c>
      <c s="30" r="I2256">
        <v>80</v>
      </c>
      <c t="s" s="30" r="J2256">
        <v>129</v>
      </c>
      <c t="s" s="30" r="K2256">
        <v>114</v>
      </c>
      <c t="s" s="30" r="L2256">
        <v>161</v>
      </c>
      <c s="30" r="M2256">
        <v>33</v>
      </c>
      <c s="26" r="N2256">
        <v>8.1</v>
      </c>
      <c s="23" r="O2256">
        <v>0.037</v>
      </c>
      <c s="7" r="P2256"/>
      <c s="7" r="Q2256"/>
      <c s="7" r="R2256">
        <f>IF((P2256&gt;0),O2256,0)</f>
        <v>0</v>
      </c>
      <c t="str" r="S2256">
        <f>CONCATENATE(F2256,E2256)</f>
        <v>NON FTLNON FTL</v>
      </c>
    </row>
    <row r="2257">
      <c t="s" s="7" r="A2257">
        <v>201</v>
      </c>
      <c s="7" r="B2257">
        <v>2284</v>
      </c>
      <c s="30" r="C2257">
        <v>9</v>
      </c>
      <c t="s" s="30" r="D2257">
        <v>133</v>
      </c>
      <c t="s" s="30" r="E2257">
        <v>4</v>
      </c>
      <c t="s" s="30" r="F2257">
        <v>4</v>
      </c>
      <c t="s" s="30" r="G2257">
        <v>280</v>
      </c>
      <c t="str" s="12" r="H2257">
        <f>HYPERLINK("http://sofifa.com/en/fifa13winter/player/148570-leandro-damiao-da-silva-dos-santos","Leandro Damião")</f>
        <v>Leandro Damião</v>
      </c>
      <c s="30" r="I2257">
        <v>80</v>
      </c>
      <c t="s" s="30" r="J2257">
        <v>129</v>
      </c>
      <c t="s" s="30" r="K2257">
        <v>155</v>
      </c>
      <c t="s" s="30" r="L2257">
        <v>153</v>
      </c>
      <c s="30" r="M2257">
        <v>23</v>
      </c>
      <c s="26" r="N2257">
        <v>12.1</v>
      </c>
      <c s="23" r="O2257">
        <v>0.029</v>
      </c>
      <c s="7" r="P2257"/>
      <c s="7" r="Q2257"/>
      <c s="7" r="R2257">
        <f>IF((P2257&gt;0),O2257,0)</f>
        <v>0</v>
      </c>
      <c t="str" r="S2257">
        <f>CONCATENATE(F2257,E2257)</f>
        <v>NON FTLNON FTL</v>
      </c>
    </row>
    <row r="2258">
      <c t="s" s="7" r="A2258">
        <v>201</v>
      </c>
      <c s="7" r="B2258">
        <v>2285</v>
      </c>
      <c s="30" r="C2258">
        <v>27</v>
      </c>
      <c t="s" s="30" r="D2258">
        <v>136</v>
      </c>
      <c t="s" s="30" r="E2258">
        <v>4</v>
      </c>
      <c t="s" s="30" r="F2258">
        <v>4</v>
      </c>
      <c t="s" s="30" r="G2258">
        <v>280</v>
      </c>
      <c t="str" s="12" r="H2258">
        <f>HYPERLINK("http://sofifa.com/en/fifa13winter/player/147501-josimar-da-silva-tavares","Josimar")</f>
        <v>Josimar</v>
      </c>
      <c s="30" r="I2258">
        <v>67</v>
      </c>
      <c t="s" s="30" r="J2258">
        <v>154</v>
      </c>
      <c t="s" s="30" r="K2258">
        <v>150</v>
      </c>
      <c t="s" s="30" r="L2258">
        <v>161</v>
      </c>
      <c s="30" r="M2258">
        <v>26</v>
      </c>
      <c s="26" r="N2258">
        <v>1.2</v>
      </c>
      <c s="23" r="O2258">
        <v>0.006</v>
      </c>
      <c s="7" r="P2258"/>
      <c s="7" r="Q2258"/>
      <c s="7" r="R2258">
        <f>IF((P2258&gt;0),O2258,0)</f>
        <v>0</v>
      </c>
      <c t="str" r="S2258">
        <f>CONCATENATE(F2258,E2258)</f>
        <v>NON FTLNON FTL</v>
      </c>
    </row>
    <row r="2259">
      <c t="s" s="7" r="A2259">
        <v>201</v>
      </c>
      <c s="7" r="B2259">
        <v>2286</v>
      </c>
      <c s="30" r="C2259">
        <v>25</v>
      </c>
      <c t="s" s="30" r="D2259">
        <v>136</v>
      </c>
      <c t="s" s="30" r="E2259">
        <v>4</v>
      </c>
      <c t="s" s="30" r="F2259">
        <v>4</v>
      </c>
      <c t="s" s="30" r="G2259">
        <v>280</v>
      </c>
      <c t="str" s="12" r="H2259">
        <f>HYPERLINK("http://sofifa.com/en/fifa13winter/player/148557-ronaldo-luiz-alves","Ronaldo Alves")</f>
        <v>Ronaldo Alves</v>
      </c>
      <c s="30" r="I2259">
        <v>71</v>
      </c>
      <c t="s" s="30" r="J2259">
        <v>113</v>
      </c>
      <c t="s" s="30" r="K2259">
        <v>155</v>
      </c>
      <c t="s" s="30" r="L2259">
        <v>191</v>
      </c>
      <c s="30" r="M2259">
        <v>23</v>
      </c>
      <c s="26" r="N2259">
        <v>2.5</v>
      </c>
      <c s="23" r="O2259">
        <v>0.007</v>
      </c>
      <c s="7" r="P2259"/>
      <c s="7" r="Q2259"/>
      <c s="7" r="R2259">
        <f>IF((P2259&gt;0),O2259,0)</f>
        <v>0</v>
      </c>
      <c t="str" r="S2259">
        <f>CONCATENATE(F2259,E2259)</f>
        <v>NON FTLNON FTL</v>
      </c>
    </row>
    <row r="2260">
      <c t="s" s="7" r="A2260">
        <v>201</v>
      </c>
      <c s="7" r="B2260">
        <v>2287</v>
      </c>
      <c s="30" r="C2260">
        <v>12</v>
      </c>
      <c t="s" s="30" r="D2260">
        <v>136</v>
      </c>
      <c t="s" s="30" r="E2260">
        <v>4</v>
      </c>
      <c t="s" s="30" r="F2260">
        <v>4</v>
      </c>
      <c t="s" s="30" r="G2260">
        <v>280</v>
      </c>
      <c t="str" s="12" r="H2260">
        <f>HYPERLINK("http://sofifa.com/en/fifa13winter/player/148712-agenor-detofol","Agenor")</f>
        <v>Agenor</v>
      </c>
      <c s="30" r="I2260">
        <v>64</v>
      </c>
      <c t="s" s="30" r="J2260">
        <v>106</v>
      </c>
      <c t="s" s="30" r="K2260">
        <v>155</v>
      </c>
      <c t="s" s="30" r="L2260">
        <v>156</v>
      </c>
      <c s="30" r="M2260">
        <v>22</v>
      </c>
      <c s="26" r="N2260">
        <v>0.8</v>
      </c>
      <c s="23" r="O2260">
        <v>0.004</v>
      </c>
      <c s="7" r="P2260"/>
      <c s="7" r="Q2260"/>
      <c s="7" r="R2260">
        <f>IF((P2260&gt;0),O2260,0)</f>
        <v>0</v>
      </c>
      <c t="str" r="S2260">
        <f>CONCATENATE(F2260,E2260)</f>
        <v>NON FTLNON FTL</v>
      </c>
    </row>
    <row r="2261">
      <c t="s" s="7" r="A2261">
        <v>201</v>
      </c>
      <c s="7" r="B2261">
        <v>2288</v>
      </c>
      <c s="30" r="C2261">
        <v>13</v>
      </c>
      <c t="s" s="30" r="D2261">
        <v>136</v>
      </c>
      <c t="s" s="30" r="E2261">
        <v>4</v>
      </c>
      <c t="s" s="30" r="F2261">
        <v>4</v>
      </c>
      <c t="s" s="30" r="G2261">
        <v>280</v>
      </c>
      <c t="str" s="12" r="H2261">
        <f>HYPERLINK("http://sofifa.com/en/fifa13winter/player/147936-rodrigo-modesto-da-silva-moledo","Rodrigo Moledo")</f>
        <v>Rodrigo Moledo</v>
      </c>
      <c s="30" r="I2261">
        <v>73</v>
      </c>
      <c t="s" s="30" r="J2261">
        <v>113</v>
      </c>
      <c t="s" s="30" r="K2261">
        <v>134</v>
      </c>
      <c t="s" s="30" r="L2261">
        <v>156</v>
      </c>
      <c s="30" r="M2261">
        <v>24</v>
      </c>
      <c s="26" r="N2261">
        <v>3.3</v>
      </c>
      <c s="23" r="O2261">
        <v>0.01</v>
      </c>
      <c s="7" r="P2261"/>
      <c s="7" r="Q2261"/>
      <c s="7" r="R2261">
        <f>IF((P2261&gt;0),O2261,0)</f>
        <v>0</v>
      </c>
      <c t="str" r="S2261">
        <f>CONCATENATE(F2261,E2261)</f>
        <v>NON FTLNON FTL</v>
      </c>
    </row>
    <row r="2262">
      <c t="s" s="7" r="A2262">
        <v>201</v>
      </c>
      <c s="7" r="B2262">
        <v>2289</v>
      </c>
      <c s="30" r="C2262">
        <v>18</v>
      </c>
      <c t="s" s="30" r="D2262">
        <v>136</v>
      </c>
      <c t="s" s="30" r="E2262">
        <v>4</v>
      </c>
      <c t="s" s="30" r="F2262">
        <v>4</v>
      </c>
      <c t="s" s="30" r="G2262">
        <v>280</v>
      </c>
      <c t="str" s="12" r="H2262">
        <f>HYPERLINK("http://sofifa.com/en/fifa13winter/player/148523-gilberto-oliveira-souza-jr","Gilberto")</f>
        <v>Gilberto</v>
      </c>
      <c s="30" r="I2262">
        <v>71</v>
      </c>
      <c t="s" s="30" r="J2262">
        <v>129</v>
      </c>
      <c t="s" s="30" r="K2262">
        <v>118</v>
      </c>
      <c t="s" s="30" r="L2262">
        <v>122</v>
      </c>
      <c s="30" r="M2262">
        <v>23</v>
      </c>
      <c s="26" r="N2262">
        <v>2.8</v>
      </c>
      <c s="23" r="O2262">
        <v>0.007</v>
      </c>
      <c s="7" r="P2262"/>
      <c s="7" r="Q2262"/>
      <c s="7" r="R2262">
        <f>IF((P2262&gt;0),O2262,0)</f>
        <v>0</v>
      </c>
      <c t="str" r="S2262">
        <f>CONCATENATE(F2262,E2262)</f>
        <v>NON FTLNON FTL</v>
      </c>
    </row>
    <row r="2263">
      <c t="s" s="7" r="A2263">
        <v>201</v>
      </c>
      <c s="7" r="B2263">
        <v>2290</v>
      </c>
      <c s="30" r="C2263">
        <v>35</v>
      </c>
      <c t="s" s="30" r="D2263">
        <v>136</v>
      </c>
      <c t="s" s="30" r="E2263">
        <v>4</v>
      </c>
      <c t="s" s="30" r="F2263">
        <v>4</v>
      </c>
      <c t="s" s="30" r="G2263">
        <v>280</v>
      </c>
      <c t="str" s="12" r="H2263">
        <f>HYPERLINK("http://sofifa.com/en/fifa13winter/player/149892-frederico-r-de-paula-s","Fred")</f>
        <v>Fred</v>
      </c>
      <c s="30" r="I2263">
        <v>72</v>
      </c>
      <c t="s" s="30" r="J2263">
        <v>162</v>
      </c>
      <c t="s" s="30" r="K2263">
        <v>205</v>
      </c>
      <c t="s" s="30" r="L2263">
        <v>141</v>
      </c>
      <c s="30" r="M2263">
        <v>19</v>
      </c>
      <c s="26" r="N2263">
        <v>3.6</v>
      </c>
      <c s="23" r="O2263">
        <v>0.007</v>
      </c>
      <c s="7" r="P2263"/>
      <c s="7" r="Q2263"/>
      <c s="7" r="R2263">
        <f>IF((P2263&gt;0),O2263,0)</f>
        <v>0</v>
      </c>
      <c t="str" r="S2263">
        <f>CONCATENATE(F2263,E2263)</f>
        <v>NON FTLNON FTL</v>
      </c>
    </row>
    <row r="2264">
      <c t="s" s="7" r="A2264">
        <v>201</v>
      </c>
      <c s="7" r="B2264">
        <v>2291</v>
      </c>
      <c s="30" r="C2264">
        <v>21</v>
      </c>
      <c t="s" s="30" r="D2264">
        <v>136</v>
      </c>
      <c t="s" s="30" r="E2264">
        <v>4</v>
      </c>
      <c t="s" s="30" r="F2264">
        <v>4</v>
      </c>
      <c t="s" s="30" r="G2264">
        <v>280</v>
      </c>
      <c t="str" s="12" r="H2264">
        <f>HYPERLINK("http://sofifa.com/en/fifa13winter/player/146693-ygor-maciel-santiago","Ygor")</f>
        <v>Ygor</v>
      </c>
      <c s="30" r="I2264">
        <v>70</v>
      </c>
      <c t="s" s="30" r="J2264">
        <v>154</v>
      </c>
      <c t="s" s="30" r="K2264">
        <v>145</v>
      </c>
      <c t="s" s="30" r="L2264">
        <v>161</v>
      </c>
      <c s="30" r="M2264">
        <v>28</v>
      </c>
      <c s="26" r="N2264">
        <v>1.6</v>
      </c>
      <c s="23" r="O2264">
        <v>0.007</v>
      </c>
      <c s="7" r="P2264"/>
      <c s="7" r="Q2264"/>
      <c s="7" r="R2264">
        <f>IF((P2264&gt;0),O2264,0)</f>
        <v>0</v>
      </c>
      <c t="str" r="S2264">
        <f>CONCATENATE(F2264,E2264)</f>
        <v>NON FTLNON FTL</v>
      </c>
    </row>
    <row r="2265">
      <c t="s" s="7" r="A2265">
        <v>201</v>
      </c>
      <c s="7" r="B2265">
        <v>2292</v>
      </c>
      <c s="30" r="C2265">
        <v>17</v>
      </c>
      <c t="s" s="30" r="D2265">
        <v>136</v>
      </c>
      <c t="s" s="30" r="E2265">
        <v>4</v>
      </c>
      <c t="s" s="30" r="F2265">
        <v>4</v>
      </c>
      <c t="s" s="30" r="G2265">
        <v>280</v>
      </c>
      <c t="str" s="12" r="H2265">
        <f>HYPERLINK("http://sofifa.com/en/fifa13winter/player/148953-caio-canedo-correa","Caio")</f>
        <v>Caio</v>
      </c>
      <c s="30" r="I2265">
        <v>70</v>
      </c>
      <c t="s" s="30" r="J2265">
        <v>129</v>
      </c>
      <c t="s" s="30" r="K2265">
        <v>118</v>
      </c>
      <c t="s" s="30" r="L2265">
        <v>115</v>
      </c>
      <c s="30" r="M2265">
        <v>22</v>
      </c>
      <c s="26" r="N2265">
        <v>2.3</v>
      </c>
      <c s="23" r="O2265">
        <v>0.006</v>
      </c>
      <c s="7" r="P2265"/>
      <c s="7" r="Q2265"/>
      <c s="7" r="R2265">
        <f>IF((P2265&gt;0),O2265,0)</f>
        <v>0</v>
      </c>
      <c t="str" r="S2265">
        <f>CONCATENATE(F2265,E2265)</f>
        <v>NON FTLNON FTL</v>
      </c>
    </row>
    <row r="2266">
      <c t="s" s="7" r="A2266">
        <v>201</v>
      </c>
      <c s="7" r="B2266">
        <v>2293</v>
      </c>
      <c s="30" r="C2266">
        <v>6</v>
      </c>
      <c t="s" s="30" r="D2266">
        <v>136</v>
      </c>
      <c t="s" s="30" r="E2266">
        <v>4</v>
      </c>
      <c t="s" s="30" r="F2266">
        <v>4</v>
      </c>
      <c t="s" s="30" r="G2266">
        <v>280</v>
      </c>
      <c t="str" s="12" r="H2266">
        <f>HYPERLINK("http://sofifa.com/en/fifa13winter/player/145171-kleber-de-carvalho-correa","Kléber")</f>
        <v>Kléber</v>
      </c>
      <c s="30" r="I2266">
        <v>70</v>
      </c>
      <c t="s" s="30" r="J2266">
        <v>117</v>
      </c>
      <c t="s" s="30" r="K2266">
        <v>159</v>
      </c>
      <c t="s" s="30" r="L2266">
        <v>138</v>
      </c>
      <c s="30" r="M2266">
        <v>32</v>
      </c>
      <c s="26" r="N2266">
        <v>1.3</v>
      </c>
      <c s="23" r="O2266">
        <v>0.008</v>
      </c>
      <c s="7" r="P2266"/>
      <c s="7" r="Q2266"/>
      <c s="7" r="R2266">
        <f>IF((P2266&gt;0),O2266,0)</f>
        <v>0</v>
      </c>
      <c t="str" r="S2266">
        <f>CONCATENATE(F2266,E2266)</f>
        <v>NON FTLNON FTL</v>
      </c>
    </row>
    <row r="2267">
      <c t="s" s="7" r="A2267">
        <v>201</v>
      </c>
      <c s="7" r="B2267">
        <v>2294</v>
      </c>
      <c s="30" r="C2267">
        <v>16</v>
      </c>
      <c t="s" s="30" r="D2267">
        <v>136</v>
      </c>
      <c t="s" s="30" r="E2267">
        <v>4</v>
      </c>
      <c t="s" s="30" r="F2267">
        <v>4</v>
      </c>
      <c t="s" s="30" r="G2267">
        <v>280</v>
      </c>
      <c t="str" s="12" r="H2267">
        <f>HYPERLINK("http://sofifa.com/en/fifa13winter/player/147529-vitor-silva-assis-de-o-junior","Vitor Júnior")</f>
        <v>Vitor Júnior</v>
      </c>
      <c s="30" r="I2267">
        <v>73</v>
      </c>
      <c t="s" s="30" r="J2267">
        <v>162</v>
      </c>
      <c t="s" s="30" r="K2267">
        <v>231</v>
      </c>
      <c t="s" s="30" r="L2267">
        <v>149</v>
      </c>
      <c s="30" r="M2267">
        <v>25</v>
      </c>
      <c s="26" r="N2267">
        <v>3.4</v>
      </c>
      <c s="23" r="O2267">
        <v>0.01</v>
      </c>
      <c s="7" r="P2267"/>
      <c s="7" r="Q2267"/>
      <c s="7" r="R2267">
        <f>IF((P2267&gt;0),O2267,0)</f>
        <v>0</v>
      </c>
      <c t="str" r="S2267">
        <f>CONCATENATE(F2267,E2267)</f>
        <v>NON FTLNON FTL</v>
      </c>
    </row>
    <row r="2268">
      <c t="s" s="7" r="A2268">
        <v>201</v>
      </c>
      <c s="7" r="B2268">
        <v>2295</v>
      </c>
      <c s="30" r="C2268">
        <v>11</v>
      </c>
      <c t="s" s="30" r="D2268">
        <v>136</v>
      </c>
      <c t="s" s="30" r="E2268">
        <v>4</v>
      </c>
      <c t="s" s="30" r="F2268">
        <v>4</v>
      </c>
      <c t="s" s="30" r="G2268">
        <v>280</v>
      </c>
      <c t="str" s="12" r="H2268">
        <f>HYPERLINK("http://sofifa.com/en/fifa13winter/player/146318-rafael-de-miranda-moura","Rafael Moura")</f>
        <v>Rafael Moura</v>
      </c>
      <c s="30" r="I2268">
        <v>71</v>
      </c>
      <c t="s" s="30" r="J2268">
        <v>129</v>
      </c>
      <c t="s" s="30" r="K2268">
        <v>169</v>
      </c>
      <c t="s" s="30" r="L2268">
        <v>179</v>
      </c>
      <c s="30" r="M2268">
        <v>29</v>
      </c>
      <c s="26" r="N2268">
        <v>2.6</v>
      </c>
      <c s="23" r="O2268">
        <v>0.008</v>
      </c>
      <c s="7" r="P2268"/>
      <c s="7" r="Q2268"/>
      <c s="7" r="R2268">
        <f>IF((P2268&gt;0),O2268,0)</f>
        <v>0</v>
      </c>
      <c t="str" r="S2268">
        <f>CONCATENATE(F2268,E2268)</f>
        <v>NON FTLNON FTL</v>
      </c>
    </row>
    <row r="2269">
      <c t="s" s="7" r="A2269">
        <v>201</v>
      </c>
      <c s="7" r="B2269">
        <v>2296</v>
      </c>
      <c s="30" r="C2269">
        <v>24</v>
      </c>
      <c t="s" s="30" r="D2269">
        <v>136</v>
      </c>
      <c t="s" s="30" r="E2269">
        <v>4</v>
      </c>
      <c t="s" s="30" r="F2269">
        <v>4</v>
      </c>
      <c t="s" s="30" r="G2269">
        <v>280</v>
      </c>
      <c t="str" s="12" r="H2269">
        <f>HYPERLINK("http://sofifa.com/en/fifa13winter/player/145923-jorge-henrique-de-souza","Jorge Henrique")</f>
        <v>Jorge Henrique</v>
      </c>
      <c s="30" r="I2269">
        <v>73</v>
      </c>
      <c t="s" s="30" r="J2269">
        <v>157</v>
      </c>
      <c t="s" s="30" r="K2269">
        <v>205</v>
      </c>
      <c t="s" s="30" r="L2269">
        <v>111</v>
      </c>
      <c s="30" r="M2269">
        <v>30</v>
      </c>
      <c s="26" r="N2269">
        <v>2.8</v>
      </c>
      <c s="23" r="O2269">
        <v>0.011</v>
      </c>
      <c s="7" r="P2269"/>
      <c s="7" r="Q2269"/>
      <c s="7" r="R2269">
        <f>IF((P2269&gt;0),O2269,0)</f>
        <v>0</v>
      </c>
      <c t="str" r="S2269">
        <f>CONCATENATE(F2269,E2269)</f>
        <v>NON FTLNON FTL</v>
      </c>
    </row>
    <row r="2270">
      <c t="s" s="7" r="A2270">
        <v>201</v>
      </c>
      <c s="7" r="B2270">
        <v>2297</v>
      </c>
      <c s="30" r="C2270">
        <v>22</v>
      </c>
      <c t="s" s="30" r="D2270">
        <v>147</v>
      </c>
      <c t="s" s="30" r="E2270">
        <v>4</v>
      </c>
      <c t="s" s="30" r="F2270">
        <v>4</v>
      </c>
      <c t="s" s="30" r="G2270">
        <v>280</v>
      </c>
      <c t="str" s="12" r="H2270">
        <f>HYPERLINK("http://sofifa.com/en/fifa13winter/player/149738-alisson-ramses-becker","Alisson Becker")</f>
        <v>Alisson Becker</v>
      </c>
      <c s="30" r="I2270">
        <v>63</v>
      </c>
      <c t="s" s="30" r="J2270">
        <v>106</v>
      </c>
      <c t="s" s="30" r="K2270">
        <v>107</v>
      </c>
      <c t="s" s="30" r="L2270">
        <v>185</v>
      </c>
      <c s="30" r="M2270">
        <v>19</v>
      </c>
      <c s="26" r="N2270">
        <v>0.7</v>
      </c>
      <c s="23" r="O2270">
        <v>0.003</v>
      </c>
      <c s="7" r="P2270"/>
      <c s="7" r="Q2270"/>
      <c s="7" r="R2270">
        <f>IF((P2270&gt;0),O2270,0)</f>
        <v>0</v>
      </c>
      <c t="str" r="S2270">
        <f>CONCATENATE(F2270,E2270)</f>
        <v>NON FTLNON FTL</v>
      </c>
    </row>
    <row r="2271">
      <c t="s" s="7" r="A2271">
        <v>201</v>
      </c>
      <c s="7" r="B2271">
        <v>2298</v>
      </c>
      <c s="30" r="C2271">
        <v>36</v>
      </c>
      <c t="s" s="30" r="D2271">
        <v>147</v>
      </c>
      <c t="s" s="30" r="E2271">
        <v>4</v>
      </c>
      <c t="s" s="30" r="F2271">
        <v>4</v>
      </c>
      <c t="s" s="30" r="G2271">
        <v>280</v>
      </c>
      <c t="str" s="12" r="H2271">
        <f>HYPERLINK("http://sofifa.com/en/fifa13winter/player/149895-mike-dos-santos-n","Mike")</f>
        <v>Mike</v>
      </c>
      <c s="30" r="I2271">
        <v>65</v>
      </c>
      <c t="s" s="30" r="J2271">
        <v>129</v>
      </c>
      <c t="s" s="30" r="K2271">
        <v>139</v>
      </c>
      <c t="s" s="30" r="L2271">
        <v>141</v>
      </c>
      <c s="30" r="M2271">
        <v>19</v>
      </c>
      <c s="26" r="N2271">
        <v>1.3</v>
      </c>
      <c s="23" r="O2271">
        <v>0.004</v>
      </c>
      <c s="7" r="P2271"/>
      <c s="7" r="Q2271"/>
      <c s="7" r="R2271">
        <f>IF((P2271&gt;0),O2271,0)</f>
        <v>0</v>
      </c>
      <c t="str" r="S2271">
        <f>CONCATENATE(F2271,E2271)</f>
        <v>NON FTLNON FTL</v>
      </c>
    </row>
    <row r="2272">
      <c t="s" s="7" r="A2272">
        <v>201</v>
      </c>
      <c s="7" r="B2272">
        <v>2299</v>
      </c>
      <c s="30" r="C2272">
        <v>32</v>
      </c>
      <c t="s" s="30" r="D2272">
        <v>147</v>
      </c>
      <c t="s" s="30" r="E2272">
        <v>4</v>
      </c>
      <c t="s" s="30" r="F2272">
        <v>4</v>
      </c>
      <c t="s" s="30" r="G2272">
        <v>280</v>
      </c>
      <c t="str" s="12" r="H2272">
        <f>HYPERLINK("http://sofifa.com/en/fifa13winter/player/148853-jackson-de-souza","Jackson")</f>
        <v>Jackson</v>
      </c>
      <c s="30" r="I2272">
        <v>64</v>
      </c>
      <c t="s" s="30" r="J2272">
        <v>113</v>
      </c>
      <c t="s" s="30" r="K2272">
        <v>173</v>
      </c>
      <c t="s" s="30" r="L2272">
        <v>138</v>
      </c>
      <c s="30" r="M2272">
        <v>22</v>
      </c>
      <c s="26" r="N2272">
        <v>0.9</v>
      </c>
      <c s="23" r="O2272">
        <v>0.004</v>
      </c>
      <c s="7" r="P2272"/>
      <c s="7" r="Q2272"/>
      <c s="7" r="R2272">
        <f>IF((P2272&gt;0),O2272,0)</f>
        <v>0</v>
      </c>
      <c t="str" r="S2272">
        <f>CONCATENATE(F2272,E2272)</f>
        <v>NON FTLNON FTL</v>
      </c>
    </row>
    <row r="2273">
      <c t="s" s="7" r="A2273">
        <v>201</v>
      </c>
      <c s="7" r="B2273">
        <v>2300</v>
      </c>
      <c s="30" r="C2273">
        <v>28</v>
      </c>
      <c t="s" s="30" r="D2273">
        <v>147</v>
      </c>
      <c t="s" s="30" r="E2273">
        <v>4</v>
      </c>
      <c t="s" s="30" r="F2273">
        <v>4</v>
      </c>
      <c t="s" s="30" r="G2273">
        <v>280</v>
      </c>
      <c t="str" s="12" r="H2273">
        <f>HYPERLINK("http://sofifa.com/en/fifa13winter/player/149642-romario-leiria-de-moura","Romário")</f>
        <v>Romário</v>
      </c>
      <c s="30" r="I2273">
        <v>63</v>
      </c>
      <c t="s" s="30" r="J2273">
        <v>113</v>
      </c>
      <c t="s" s="30" r="K2273">
        <v>110</v>
      </c>
      <c t="s" s="30" r="L2273">
        <v>183</v>
      </c>
      <c s="30" r="M2273">
        <v>20</v>
      </c>
      <c s="26" r="N2273">
        <v>0.9</v>
      </c>
      <c s="23" r="O2273">
        <v>0.003</v>
      </c>
      <c s="7" r="P2273"/>
      <c s="7" r="Q2273"/>
      <c s="7" r="R2273">
        <f>IF((P2273&gt;0),O2273,0)</f>
        <v>0</v>
      </c>
      <c t="str" r="S2273">
        <f>CONCATENATE(F2273,E2273)</f>
        <v>NON FTLNON FTL</v>
      </c>
    </row>
    <row r="2274">
      <c t="s" s="7" r="A2274">
        <v>201</v>
      </c>
      <c s="7" r="B2274">
        <v>2301</v>
      </c>
      <c s="30" r="C2274">
        <v>26</v>
      </c>
      <c t="s" s="30" r="D2274">
        <v>147</v>
      </c>
      <c t="s" s="30" r="E2274">
        <v>4</v>
      </c>
      <c t="s" s="30" r="F2274">
        <v>4</v>
      </c>
      <c t="s" s="30" r="G2274">
        <v>280</v>
      </c>
      <c t="str" s="12" r="H2274">
        <f>HYPERLINK("http://sofifa.com/en/fifa13winter/player/148105-helder-mauricio-da-silva-ferreira","Hélder")</f>
        <v>Hélder</v>
      </c>
      <c s="30" r="I2274">
        <v>64</v>
      </c>
      <c t="s" s="30" r="J2274">
        <v>109</v>
      </c>
      <c t="s" s="30" r="K2274">
        <v>139</v>
      </c>
      <c t="s" s="30" r="L2274">
        <v>122</v>
      </c>
      <c s="30" r="M2274">
        <v>24</v>
      </c>
      <c s="26" r="N2274">
        <v>0.8</v>
      </c>
      <c s="23" r="O2274">
        <v>0.004</v>
      </c>
      <c s="7" r="P2274"/>
      <c s="7" r="Q2274"/>
      <c s="7" r="R2274">
        <f>IF((P2274&gt;0),O2274,0)</f>
        <v>0</v>
      </c>
      <c t="str" r="S2274">
        <f>CONCATENATE(F2274,E2274)</f>
        <v>NON FTLNON FTL</v>
      </c>
    </row>
    <row r="2275">
      <c t="s" s="7" r="A2275">
        <v>201</v>
      </c>
      <c s="7" r="B2275">
        <v>2302</v>
      </c>
      <c s="30" r="C2275">
        <v>29</v>
      </c>
      <c t="s" s="30" r="D2275">
        <v>147</v>
      </c>
      <c t="s" s="30" r="E2275">
        <v>4</v>
      </c>
      <c t="s" s="30" r="F2275">
        <v>4</v>
      </c>
      <c t="s" s="30" r="G2275">
        <v>280</v>
      </c>
      <c t="str" s="12" r="H2275">
        <f>HYPERLINK("http://sofifa.com/en/fifa13winter/player/148768-dalton-moreira-neto","Dalton")</f>
        <v>Dalton</v>
      </c>
      <c s="30" r="I2275">
        <v>67</v>
      </c>
      <c t="s" s="30" r="J2275">
        <v>113</v>
      </c>
      <c t="s" s="30" r="K2275">
        <v>155</v>
      </c>
      <c t="s" s="30" r="L2275">
        <v>137</v>
      </c>
      <c s="30" r="M2275">
        <v>22</v>
      </c>
      <c s="26" r="N2275">
        <v>1.4</v>
      </c>
      <c s="23" r="O2275">
        <v>0.005</v>
      </c>
      <c s="7" r="P2275"/>
      <c s="7" r="Q2275"/>
      <c s="7" r="R2275">
        <f>IF((P2275&gt;0),O2275,0)</f>
        <v>0</v>
      </c>
      <c t="str" r="S2275">
        <f>CONCATENATE(F2275,E2275)</f>
        <v>NON FTLNON FTL</v>
      </c>
    </row>
    <row r="2276">
      <c t="s" s="7" r="A2276">
        <v>201</v>
      </c>
      <c s="7" r="B2276">
        <v>2303</v>
      </c>
      <c s="30" r="C2276">
        <v>19</v>
      </c>
      <c t="s" s="30" r="D2276">
        <v>147</v>
      </c>
      <c t="s" s="30" r="E2276">
        <v>4</v>
      </c>
      <c t="s" s="30" r="F2276">
        <v>4</v>
      </c>
      <c t="s" s="30" r="G2276">
        <v>280</v>
      </c>
      <c t="str" s="12" r="H2276">
        <f>HYPERLINK("http://sofifa.com/en/fifa13winter/player/147240-ednei-f-de-oliveira","Ednei")</f>
        <v>Ednei</v>
      </c>
      <c s="30" r="I2276">
        <v>65</v>
      </c>
      <c t="s" s="30" r="J2276">
        <v>109</v>
      </c>
      <c t="s" s="30" r="K2276">
        <v>114</v>
      </c>
      <c t="s" s="30" r="L2276">
        <v>146</v>
      </c>
      <c s="30" r="M2276">
        <v>26</v>
      </c>
      <c s="26" r="N2276">
        <v>0.9</v>
      </c>
      <c s="23" r="O2276">
        <v>0.005</v>
      </c>
      <c s="7" r="P2276"/>
      <c s="7" r="Q2276"/>
      <c s="7" r="R2276">
        <f>IF((P2276&gt;0),O2276,0)</f>
        <v>0</v>
      </c>
      <c t="str" r="S2276">
        <f>CONCATENATE(F2276,E2276)</f>
        <v>NON FTLNON FTL</v>
      </c>
    </row>
    <row r="2277">
      <c t="s" s="7" r="A2277">
        <v>201</v>
      </c>
      <c s="7" r="B2277">
        <v>2304</v>
      </c>
      <c s="30" r="C2277">
        <v>83</v>
      </c>
      <c t="s" s="30" r="D2277">
        <v>106</v>
      </c>
      <c t="s" s="30" r="E2277">
        <v>4</v>
      </c>
      <c t="s" s="30" r="F2277">
        <v>4</v>
      </c>
      <c t="s" s="30" r="G2277">
        <v>281</v>
      </c>
      <c t="str" s="12" r="H2277">
        <f>HYPERLINK("http://sofifa.com/en/fifa13winter/player/146364-antonio-mirante","A. Mirante")</f>
        <v>A. Mirante</v>
      </c>
      <c s="30" r="I2277">
        <v>77</v>
      </c>
      <c t="s" s="30" r="J2277">
        <v>106</v>
      </c>
      <c t="s" s="30" r="K2277">
        <v>107</v>
      </c>
      <c t="s" s="30" r="L2277">
        <v>158</v>
      </c>
      <c s="30" r="M2277">
        <v>29</v>
      </c>
      <c s="26" r="N2277">
        <v>4.2</v>
      </c>
      <c s="23" r="O2277">
        <v>0.018</v>
      </c>
      <c s="7" r="P2277"/>
      <c s="7" r="Q2277"/>
      <c s="7" r="R2277">
        <f>IF((P2277&gt;0),O2277,0)</f>
        <v>0</v>
      </c>
      <c t="str" r="S2277">
        <f>CONCATENATE(F2277,E2277)</f>
        <v>NON FTLNON FTL</v>
      </c>
    </row>
    <row r="2278">
      <c t="s" s="7" r="A2278">
        <v>201</v>
      </c>
      <c s="7" r="B2278">
        <v>2305</v>
      </c>
      <c s="30" r="C2278">
        <v>87</v>
      </c>
      <c t="s" s="30" r="D2278">
        <v>109</v>
      </c>
      <c t="s" s="30" r="E2278">
        <v>4</v>
      </c>
      <c t="s" s="30" r="F2278">
        <v>4</v>
      </c>
      <c t="s" s="30" r="G2278">
        <v>281</v>
      </c>
      <c t="str" s="12" r="H2278">
        <f>HYPERLINK("http://sofifa.com/en/fifa13winter/player/147773-aleandro-rosi","A. Rosi")</f>
        <v>A. Rosi</v>
      </c>
      <c s="30" r="I2278">
        <v>73</v>
      </c>
      <c t="s" s="30" r="J2278">
        <v>109</v>
      </c>
      <c t="s" s="30" r="K2278">
        <v>167</v>
      </c>
      <c t="s" s="30" r="L2278">
        <v>153</v>
      </c>
      <c s="30" r="M2278">
        <v>25</v>
      </c>
      <c s="26" r="N2278">
        <v>2.8</v>
      </c>
      <c s="23" r="O2278">
        <v>0.01</v>
      </c>
      <c s="7" r="P2278"/>
      <c s="7" r="Q2278"/>
      <c s="7" r="R2278">
        <f>IF((P2278&gt;0),O2278,0)</f>
        <v>0</v>
      </c>
      <c t="str" r="S2278">
        <f>CONCATENATE(F2278,E2278)</f>
        <v>NON FTLNON FTL</v>
      </c>
    </row>
    <row r="2279">
      <c t="s" s="7" r="A2279">
        <v>201</v>
      </c>
      <c s="7" r="B2279">
        <v>2306</v>
      </c>
      <c s="30" r="C2279">
        <v>29</v>
      </c>
      <c t="s" s="30" r="D2279">
        <v>112</v>
      </c>
      <c t="s" s="30" r="E2279">
        <v>4</v>
      </c>
      <c t="s" s="30" r="F2279">
        <v>4</v>
      </c>
      <c t="s" s="30" r="G2279">
        <v>281</v>
      </c>
      <c t="str" s="12" r="H2279">
        <f>HYPERLINK("http://sofifa.com/en/fifa13winter/player/147317-gabriel-paletta","G. Paletta")</f>
        <v>G. Paletta</v>
      </c>
      <c s="30" r="I2279">
        <v>78</v>
      </c>
      <c t="s" s="30" r="J2279">
        <v>113</v>
      </c>
      <c t="s" s="30" r="K2279">
        <v>152</v>
      </c>
      <c t="s" s="30" r="L2279">
        <v>175</v>
      </c>
      <c s="30" r="M2279">
        <v>26</v>
      </c>
      <c s="26" r="N2279">
        <v>6.8</v>
      </c>
      <c s="23" r="O2279">
        <v>0.019</v>
      </c>
      <c s="7" r="P2279"/>
      <c s="7" r="Q2279"/>
      <c s="7" r="R2279">
        <f>IF((P2279&gt;0),O2279,0)</f>
        <v>0</v>
      </c>
      <c t="str" r="S2279">
        <f>CONCATENATE(F2279,E2279)</f>
        <v>NON FTLNON FTL</v>
      </c>
    </row>
    <row r="2280">
      <c t="s" s="7" r="A2280">
        <v>201</v>
      </c>
      <c s="7" r="B2280">
        <v>2307</v>
      </c>
      <c s="30" r="C2280">
        <v>6</v>
      </c>
      <c t="s" s="30" r="D2280">
        <v>116</v>
      </c>
      <c t="s" s="30" r="E2280">
        <v>4</v>
      </c>
      <c t="s" s="30" r="F2280">
        <v>4</v>
      </c>
      <c t="s" s="30" r="G2280">
        <v>281</v>
      </c>
      <c t="str" s="12" r="H2280">
        <f>HYPERLINK("http://sofifa.com/en/fifa13winter/player/144187-alessandro-lucarelli","A. Lucarelli")</f>
        <v>A. Lucarelli</v>
      </c>
      <c s="30" r="I2280">
        <v>74</v>
      </c>
      <c t="s" s="30" r="J2280">
        <v>113</v>
      </c>
      <c t="s" s="30" r="K2280">
        <v>143</v>
      </c>
      <c t="s" s="30" r="L2280">
        <v>161</v>
      </c>
      <c s="30" r="M2280">
        <v>35</v>
      </c>
      <c s="26" r="N2280">
        <v>2</v>
      </c>
      <c s="23" r="O2280">
        <v>0.014</v>
      </c>
      <c s="7" r="P2280"/>
      <c s="7" r="Q2280"/>
      <c s="7" r="R2280">
        <f>IF((P2280&gt;0),O2280,0)</f>
        <v>0</v>
      </c>
      <c t="str" r="S2280">
        <f>CONCATENATE(F2280,E2280)</f>
        <v>NON FTLNON FTL</v>
      </c>
    </row>
    <row r="2281">
      <c t="s" s="7" r="A2281">
        <v>201</v>
      </c>
      <c s="7" r="B2281">
        <v>2308</v>
      </c>
      <c s="30" r="C2281">
        <v>28</v>
      </c>
      <c t="s" s="30" r="D2281">
        <v>117</v>
      </c>
      <c t="s" s="30" r="E2281">
        <v>4</v>
      </c>
      <c t="s" s="30" r="F2281">
        <v>4</v>
      </c>
      <c t="s" s="30" r="G2281">
        <v>281</v>
      </c>
      <c t="str" s="12" r="H2281">
        <f>HYPERLINK("http://sofifa.com/en/fifa13winter/player/147723-yohan-benalouane","Y. Benalouane")</f>
        <v>Y. Benalouane</v>
      </c>
      <c s="30" r="I2281">
        <v>72</v>
      </c>
      <c t="s" s="30" r="J2281">
        <v>113</v>
      </c>
      <c t="s" s="30" r="K2281">
        <v>155</v>
      </c>
      <c t="s" s="30" r="L2281">
        <v>179</v>
      </c>
      <c s="30" r="M2281">
        <v>25</v>
      </c>
      <c s="26" r="N2281">
        <v>2.6</v>
      </c>
      <c s="23" r="O2281">
        <v>0.009</v>
      </c>
      <c s="7" r="P2281"/>
      <c s="7" r="Q2281"/>
      <c s="7" r="R2281">
        <f>IF((P2281&gt;0),O2281,0)</f>
        <v>0</v>
      </c>
      <c t="str" r="S2281">
        <f>CONCATENATE(F2281,E2281)</f>
        <v>NON FTLNON FTL</v>
      </c>
    </row>
    <row r="2282">
      <c t="s" s="7" r="A2282">
        <v>201</v>
      </c>
      <c s="7" r="B2282">
        <v>2309</v>
      </c>
      <c s="30" r="C2282">
        <v>16</v>
      </c>
      <c t="s" s="30" r="D2282">
        <v>123</v>
      </c>
      <c t="s" s="30" r="E2282">
        <v>4</v>
      </c>
      <c t="s" s="30" r="F2282">
        <v>4</v>
      </c>
      <c t="s" s="30" r="G2282">
        <v>281</v>
      </c>
      <c t="str" s="12" r="H2282">
        <f>HYPERLINK("http://sofifa.com/en/fifa13winter/player/146931-marco-parolo","M. Parolo")</f>
        <v>M. Parolo</v>
      </c>
      <c s="30" r="I2282">
        <v>75</v>
      </c>
      <c t="s" s="30" r="J2282">
        <v>124</v>
      </c>
      <c t="s" s="30" r="K2282">
        <v>173</v>
      </c>
      <c t="s" s="30" r="L2282">
        <v>193</v>
      </c>
      <c s="30" r="M2282">
        <v>27</v>
      </c>
      <c s="26" r="N2282">
        <v>4</v>
      </c>
      <c s="23" r="O2282">
        <v>0.013</v>
      </c>
      <c s="7" r="P2282"/>
      <c s="7" r="Q2282"/>
      <c s="7" r="R2282">
        <f>IF((P2282&gt;0),O2282,0)</f>
        <v>0</v>
      </c>
      <c t="str" r="S2282">
        <f>CONCATENATE(F2282,E2282)</f>
        <v>NON FTLNON FTL</v>
      </c>
    </row>
    <row r="2283">
      <c t="s" s="7" r="A2283">
        <v>201</v>
      </c>
      <c s="7" r="B2283">
        <v>2310</v>
      </c>
      <c s="30" r="C2283">
        <v>32</v>
      </c>
      <c t="s" s="30" r="D2283">
        <v>124</v>
      </c>
      <c t="s" s="30" r="E2283">
        <v>4</v>
      </c>
      <c t="s" s="30" r="F2283">
        <v>4</v>
      </c>
      <c t="s" s="30" r="G2283">
        <v>281</v>
      </c>
      <c t="str" s="12" r="H2283">
        <f>HYPERLINK("http://sofifa.com/en/fifa13winter/player/145283-marco-marchionni","M. Marchionni")</f>
        <v>M. Marchionni</v>
      </c>
      <c s="30" r="I2283">
        <v>74</v>
      </c>
      <c t="s" s="30" r="J2283">
        <v>162</v>
      </c>
      <c t="s" s="30" r="K2283">
        <v>139</v>
      </c>
      <c t="s" s="30" r="L2283">
        <v>125</v>
      </c>
      <c s="30" r="M2283">
        <v>32</v>
      </c>
      <c s="26" r="N2283">
        <v>2.9</v>
      </c>
      <c s="23" r="O2283">
        <v>0.013</v>
      </c>
      <c s="7" r="P2283"/>
      <c s="7" r="Q2283"/>
      <c s="7" r="R2283">
        <f>IF((P2283&gt;0),O2283,0)</f>
        <v>0</v>
      </c>
      <c t="str" r="S2283">
        <f>CONCATENATE(F2283,E2283)</f>
        <v>NON FTLNON FTL</v>
      </c>
    </row>
    <row r="2284">
      <c t="s" s="7" r="A2284">
        <v>201</v>
      </c>
      <c s="7" r="B2284">
        <v>2311</v>
      </c>
      <c s="30" r="C2284">
        <v>2</v>
      </c>
      <c t="s" s="30" r="D2284">
        <v>126</v>
      </c>
      <c t="s" s="30" r="E2284">
        <v>4</v>
      </c>
      <c t="s" s="30" r="F2284">
        <v>4</v>
      </c>
      <c t="s" s="30" r="G2284">
        <v>281</v>
      </c>
      <c t="str" s="12" r="H2284">
        <f>HYPERLINK("http://sofifa.com/en/fifa13winter/player/149731-alvaro-ampuero","A. Ampuero")</f>
        <v>A. Ampuero</v>
      </c>
      <c s="30" r="I2284">
        <v>62</v>
      </c>
      <c t="s" s="30" r="J2284">
        <v>117</v>
      </c>
      <c t="s" s="30" r="K2284">
        <v>110</v>
      </c>
      <c t="s" s="30" r="L2284">
        <v>137</v>
      </c>
      <c s="30" r="M2284">
        <v>19</v>
      </c>
      <c s="26" r="N2284">
        <v>0.7</v>
      </c>
      <c s="23" r="O2284">
        <v>0.003</v>
      </c>
      <c s="7" r="P2284"/>
      <c s="7" r="Q2284"/>
      <c s="7" r="R2284">
        <f>IF((P2284&gt;0),O2284,0)</f>
        <v>0</v>
      </c>
      <c t="str" r="S2284">
        <f>CONCATENATE(F2284,E2284)</f>
        <v>NON FTLNON FTL</v>
      </c>
    </row>
    <row r="2285">
      <c t="s" s="7" r="A2285">
        <v>201</v>
      </c>
      <c s="7" r="B2285">
        <v>2312</v>
      </c>
      <c s="30" r="C2285">
        <v>7</v>
      </c>
      <c t="s" s="30" r="D2285">
        <v>157</v>
      </c>
      <c t="s" s="30" r="E2285">
        <v>4</v>
      </c>
      <c t="s" s="30" r="F2285">
        <v>4</v>
      </c>
      <c t="s" s="30" r="G2285">
        <v>281</v>
      </c>
      <c t="str" s="12" r="H2285">
        <f>HYPERLINK("http://sofifa.com/en/fifa13winter/player/148120-jonathan-biabiany","J. Biabiany")</f>
        <v>J. Biabiany</v>
      </c>
      <c s="30" r="I2285">
        <v>79</v>
      </c>
      <c t="s" s="30" r="J2285">
        <v>157</v>
      </c>
      <c t="s" s="30" r="K2285">
        <v>159</v>
      </c>
      <c t="s" s="30" r="L2285">
        <v>119</v>
      </c>
      <c s="30" r="M2285">
        <v>24</v>
      </c>
      <c s="26" r="N2285">
        <v>8.9</v>
      </c>
      <c s="23" r="O2285">
        <v>0.022</v>
      </c>
      <c s="7" r="P2285"/>
      <c s="7" r="Q2285"/>
      <c s="7" r="R2285">
        <f>IF((P2285&gt;0),O2285,0)</f>
        <v>0</v>
      </c>
      <c t="str" r="S2285">
        <f>CONCATENATE(F2285,E2285)</f>
        <v>NON FTLNON FTL</v>
      </c>
    </row>
    <row r="2286">
      <c t="s" s="7" r="A2286">
        <v>201</v>
      </c>
      <c s="7" r="B2286">
        <v>2313</v>
      </c>
      <c s="30" r="C2286">
        <v>11</v>
      </c>
      <c t="s" s="30" r="D2286">
        <v>129</v>
      </c>
      <c t="s" s="30" r="E2286">
        <v>4</v>
      </c>
      <c t="s" s="30" r="F2286">
        <v>4</v>
      </c>
      <c t="s" s="30" r="G2286">
        <v>281</v>
      </c>
      <c t="str" s="12" r="H2286">
        <f>HYPERLINK("http://sofifa.com/en/fifa13winter/player/145234-amauri-carvalho-de-oliv","Amauri")</f>
        <v>Amauri</v>
      </c>
      <c s="30" r="I2286">
        <v>76</v>
      </c>
      <c t="s" s="30" r="J2286">
        <v>129</v>
      </c>
      <c t="s" s="30" r="K2286">
        <v>173</v>
      </c>
      <c t="s" s="30" r="L2286">
        <v>108</v>
      </c>
      <c s="30" r="M2286">
        <v>32</v>
      </c>
      <c s="26" r="N2286">
        <v>4.4</v>
      </c>
      <c s="23" r="O2286">
        <v>0.018</v>
      </c>
      <c s="7" r="P2286"/>
      <c s="7" r="Q2286"/>
      <c s="7" r="R2286">
        <f>IF((P2286&gt;0),O2286,0)</f>
        <v>0</v>
      </c>
      <c t="str" r="S2286">
        <f>CONCATENATE(F2286,E2286)</f>
        <v>NON FTLNON FTL</v>
      </c>
    </row>
    <row r="2287">
      <c t="s" s="7" r="A2287">
        <v>201</v>
      </c>
      <c s="7" r="B2287">
        <v>2314</v>
      </c>
      <c s="30" r="C2287">
        <v>9</v>
      </c>
      <c t="s" s="30" r="D2287">
        <v>170</v>
      </c>
      <c t="s" s="30" r="E2287">
        <v>4</v>
      </c>
      <c t="s" s="30" r="F2287">
        <v>4</v>
      </c>
      <c t="s" s="30" r="G2287">
        <v>281</v>
      </c>
      <c t="str" s="12" r="H2287">
        <f>HYPERLINK("http://sofifa.com/en/fifa13winter/player/149474-ishak-belfodil","I. Belfodil")</f>
        <v>I. Belfodil</v>
      </c>
      <c s="30" r="I2287">
        <v>74</v>
      </c>
      <c t="s" s="30" r="J2287">
        <v>129</v>
      </c>
      <c t="s" s="30" r="K2287">
        <v>165</v>
      </c>
      <c t="s" s="30" r="L2287">
        <v>180</v>
      </c>
      <c s="30" r="M2287">
        <v>20</v>
      </c>
      <c s="26" r="N2287">
        <v>4.5</v>
      </c>
      <c s="23" r="O2287">
        <v>0.009</v>
      </c>
      <c s="7" r="P2287"/>
      <c s="7" r="Q2287"/>
      <c s="7" r="R2287">
        <f>IF((P2287&gt;0),O2287,0)</f>
        <v>0</v>
      </c>
      <c t="str" r="S2287">
        <f>CONCATENATE(F2287,E2287)</f>
        <v>NON FTLNON FTL</v>
      </c>
    </row>
    <row r="2288">
      <c t="s" s="7" r="A2288">
        <v>201</v>
      </c>
      <c s="7" r="B2288">
        <v>2315</v>
      </c>
      <c s="30" r="C2288">
        <v>5</v>
      </c>
      <c t="s" s="30" r="D2288">
        <v>136</v>
      </c>
      <c t="s" s="30" r="E2288">
        <v>4</v>
      </c>
      <c t="s" s="30" r="F2288">
        <v>4</v>
      </c>
      <c t="s" s="30" r="G2288">
        <v>281</v>
      </c>
      <c t="str" s="12" r="H2288">
        <f>HYPERLINK("http://sofifa.com/en/fifa13winter/player/146823-djamel-mesbah","D. Mesbah")</f>
        <v>D. Mesbah</v>
      </c>
      <c s="30" r="I2288">
        <v>73</v>
      </c>
      <c t="s" s="30" r="J2288">
        <v>117</v>
      </c>
      <c t="s" s="30" r="K2288">
        <v>145</v>
      </c>
      <c t="s" s="30" r="L2288">
        <v>160</v>
      </c>
      <c s="30" r="M2288">
        <v>27</v>
      </c>
      <c s="26" r="N2288">
        <v>2.7</v>
      </c>
      <c s="23" r="O2288">
        <v>0.01</v>
      </c>
      <c s="7" r="P2288"/>
      <c s="7" r="Q2288"/>
      <c s="7" r="R2288">
        <f>IF((P2288&gt;0),O2288,0)</f>
        <v>0</v>
      </c>
      <c t="str" r="S2288">
        <f>CONCATENATE(F2288,E2288)</f>
        <v>NON FTLNON FTL</v>
      </c>
    </row>
    <row r="2289">
      <c t="s" s="7" r="A2289">
        <v>201</v>
      </c>
      <c s="7" r="B2289">
        <v>2316</v>
      </c>
      <c s="30" r="C2289">
        <v>3</v>
      </c>
      <c t="s" s="30" r="D2289">
        <v>136</v>
      </c>
      <c t="s" s="30" r="E2289">
        <v>4</v>
      </c>
      <c t="s" s="30" r="F2289">
        <v>4</v>
      </c>
      <c t="s" s="30" r="G2289">
        <v>281</v>
      </c>
      <c t="str" s="12" r="H2289">
        <f>HYPERLINK("http://sofifa.com/en/fifa13winter/player/149558-emilio-maceachen","E. MacEachen")</f>
        <v>E. MacEachen</v>
      </c>
      <c s="30" r="I2289">
        <v>63</v>
      </c>
      <c t="s" s="30" r="J2289">
        <v>113</v>
      </c>
      <c t="s" s="30" r="K2289">
        <v>110</v>
      </c>
      <c t="s" s="30" r="L2289">
        <v>161</v>
      </c>
      <c s="30" r="M2289">
        <v>20</v>
      </c>
      <c s="26" r="N2289">
        <v>0.9</v>
      </c>
      <c s="23" r="O2289">
        <v>0.003</v>
      </c>
      <c s="7" r="P2289"/>
      <c s="7" r="Q2289"/>
      <c s="7" r="R2289">
        <f>IF((P2289&gt;0),O2289,0)</f>
        <v>0</v>
      </c>
      <c t="str" r="S2289">
        <f>CONCATENATE(F2289,E2289)</f>
        <v>NON FTLNON FTL</v>
      </c>
    </row>
    <row r="2290">
      <c t="s" s="7" r="A2290">
        <v>201</v>
      </c>
      <c s="7" r="B2290">
        <v>2317</v>
      </c>
      <c s="30" r="C2290">
        <v>21</v>
      </c>
      <c t="s" s="30" r="D2290">
        <v>136</v>
      </c>
      <c t="s" s="30" r="E2290">
        <v>4</v>
      </c>
      <c t="s" s="30" r="F2290">
        <v>4</v>
      </c>
      <c t="s" s="30" r="G2290">
        <v>281</v>
      </c>
      <c t="str" s="12" r="H2290">
        <f>HYPERLINK("http://sofifa.com/en/fifa13winter/player/149380-nicola-sansone","N. Sansone")</f>
        <v>N. Sansone</v>
      </c>
      <c s="30" r="I2290">
        <v>72</v>
      </c>
      <c t="s" s="30" r="J2290">
        <v>170</v>
      </c>
      <c t="s" s="30" r="K2290">
        <v>187</v>
      </c>
      <c t="s" s="30" r="L2290">
        <v>115</v>
      </c>
      <c s="30" r="M2290">
        <v>20</v>
      </c>
      <c s="26" r="N2290">
        <v>3.2</v>
      </c>
      <c s="23" r="O2290">
        <v>0.007</v>
      </c>
      <c s="7" r="P2290"/>
      <c s="7" r="Q2290"/>
      <c s="7" r="R2290">
        <f>IF((P2290&gt;0),O2290,0)</f>
        <v>0</v>
      </c>
      <c t="str" r="S2290">
        <f>CONCATENATE(F2290,E2290)</f>
        <v>NON FTLNON FTL</v>
      </c>
    </row>
    <row r="2291">
      <c t="s" s="7" r="A2291">
        <v>201</v>
      </c>
      <c s="7" r="B2291">
        <v>2318</v>
      </c>
      <c s="30" r="C2291">
        <v>19</v>
      </c>
      <c t="s" s="30" r="D2291">
        <v>136</v>
      </c>
      <c t="s" s="30" r="E2291">
        <v>4</v>
      </c>
      <c t="s" s="30" r="F2291">
        <v>4</v>
      </c>
      <c t="s" s="30" r="G2291">
        <v>281</v>
      </c>
      <c t="str" s="12" r="H2291">
        <f>HYPERLINK("http://sofifa.com/en/fifa13winter/player/149367-filippo-boniperti","F. Boniperti")</f>
        <v>F. Boniperti</v>
      </c>
      <c s="30" r="I2291">
        <v>62</v>
      </c>
      <c t="s" s="30" r="J2291">
        <v>171</v>
      </c>
      <c t="s" s="30" r="K2291">
        <v>172</v>
      </c>
      <c t="s" s="30" r="L2291">
        <v>122</v>
      </c>
      <c s="30" r="M2291">
        <v>20</v>
      </c>
      <c s="26" r="N2291">
        <v>0.9</v>
      </c>
      <c s="23" r="O2291">
        <v>0.003</v>
      </c>
      <c s="7" r="P2291"/>
      <c s="7" r="Q2291"/>
      <c s="7" r="R2291">
        <f>IF((P2291&gt;0),O2291,0)</f>
        <v>0</v>
      </c>
      <c t="str" r="S2291">
        <f>CONCATENATE(F2291,E2291)</f>
        <v>NON FTLNON FTL</v>
      </c>
    </row>
    <row r="2292">
      <c t="s" s="7" r="A2292">
        <v>201</v>
      </c>
      <c s="7" r="B2292">
        <v>2319</v>
      </c>
      <c s="30" r="C2292">
        <v>14</v>
      </c>
      <c t="s" s="30" r="D2292">
        <v>136</v>
      </c>
      <c t="s" s="30" r="E2292">
        <v>4</v>
      </c>
      <c t="s" s="30" r="F2292">
        <v>4</v>
      </c>
      <c t="s" s="30" r="G2292">
        <v>281</v>
      </c>
      <c t="str" s="12" r="H2292">
        <f>HYPERLINK("http://sofifa.com/en/fifa13winter/player/148821-rodney-strasser","R. Strasser")</f>
        <v>R. Strasser</v>
      </c>
      <c s="30" r="I2292">
        <v>72</v>
      </c>
      <c t="s" s="30" r="J2292">
        <v>154</v>
      </c>
      <c t="s" s="30" r="K2292">
        <v>118</v>
      </c>
      <c t="s" s="30" r="L2292">
        <v>153</v>
      </c>
      <c s="30" r="M2292">
        <v>22</v>
      </c>
      <c s="26" r="N2292">
        <v>2.6</v>
      </c>
      <c s="23" r="O2292">
        <v>0.008</v>
      </c>
      <c s="7" r="P2292"/>
      <c s="7" r="Q2292"/>
      <c s="7" r="R2292">
        <f>IF((P2292&gt;0),O2292,0)</f>
        <v>0</v>
      </c>
      <c t="str" r="S2292">
        <f>CONCATENATE(F2292,E2292)</f>
        <v>NON FTLNON FTL</v>
      </c>
    </row>
    <row r="2293">
      <c t="s" s="7" r="A2293">
        <v>201</v>
      </c>
      <c s="7" r="B2293">
        <v>2320</v>
      </c>
      <c s="30" r="C2293">
        <v>4</v>
      </c>
      <c t="s" s="30" r="D2293">
        <v>136</v>
      </c>
      <c t="s" s="30" r="E2293">
        <v>4</v>
      </c>
      <c t="s" s="30" r="F2293">
        <v>4</v>
      </c>
      <c t="s" s="30" r="G2293">
        <v>281</v>
      </c>
      <c t="str" s="12" r="H2293">
        <f>HYPERLINK("http://sofifa.com/en/fifa13winter/player/144648-stefano-morrone","S. Morrone")</f>
        <v>S. Morrone</v>
      </c>
      <c s="30" r="I2293">
        <v>73</v>
      </c>
      <c t="s" s="30" r="J2293">
        <v>154</v>
      </c>
      <c t="s" s="30" r="K2293">
        <v>118</v>
      </c>
      <c t="s" s="30" r="L2293">
        <v>142</v>
      </c>
      <c s="30" r="M2293">
        <v>33</v>
      </c>
      <c s="26" r="N2293">
        <v>2</v>
      </c>
      <c s="23" r="O2293">
        <v>0.012</v>
      </c>
      <c s="7" r="P2293"/>
      <c s="7" r="Q2293"/>
      <c s="7" r="R2293">
        <f>IF((P2293&gt;0),O2293,0)</f>
        <v>0</v>
      </c>
      <c t="str" r="S2293">
        <f>CONCATENATE(F2293,E2293)</f>
        <v>NON FTLNON FTL</v>
      </c>
    </row>
    <row r="2294">
      <c t="s" s="7" r="A2294">
        <v>201</v>
      </c>
      <c s="7" r="B2294">
        <v>2321</v>
      </c>
      <c s="30" r="C2294">
        <v>10</v>
      </c>
      <c t="s" s="30" r="D2294">
        <v>136</v>
      </c>
      <c t="s" s="30" r="E2294">
        <v>4</v>
      </c>
      <c t="s" s="30" r="F2294">
        <v>4</v>
      </c>
      <c t="s" s="30" r="G2294">
        <v>281</v>
      </c>
      <c t="str" s="12" r="H2294">
        <f>HYPERLINK("http://sofifa.com/en/fifa13winter/player/145456-jaime-valdes","J. Valdés")</f>
        <v>J. Valdés</v>
      </c>
      <c s="30" r="I2294">
        <v>75</v>
      </c>
      <c t="s" s="30" r="J2294">
        <v>162</v>
      </c>
      <c t="s" s="30" r="K2294">
        <v>139</v>
      </c>
      <c t="s" s="30" r="L2294">
        <v>142</v>
      </c>
      <c s="30" r="M2294">
        <v>31</v>
      </c>
      <c s="26" r="N2294">
        <v>3.8</v>
      </c>
      <c s="23" r="O2294">
        <v>0.015</v>
      </c>
      <c s="7" r="P2294"/>
      <c s="7" r="Q2294"/>
      <c s="7" r="R2294">
        <f>IF((P2294&gt;0),O2294,0)</f>
        <v>0</v>
      </c>
      <c t="str" r="S2294">
        <f>CONCATENATE(F2294,E2294)</f>
        <v>NON FTLNON FTL</v>
      </c>
    </row>
    <row r="2295">
      <c t="s" s="7" r="A2295">
        <v>201</v>
      </c>
      <c s="7" r="B2295">
        <v>2322</v>
      </c>
      <c s="30" r="C2295">
        <v>77</v>
      </c>
      <c t="s" s="30" r="D2295">
        <v>136</v>
      </c>
      <c t="s" s="30" r="E2295">
        <v>4</v>
      </c>
      <c t="s" s="30" r="F2295">
        <v>4</v>
      </c>
      <c t="s" s="30" r="G2295">
        <v>281</v>
      </c>
      <c t="str" s="12" r="H2295">
        <f>HYPERLINK("http://sofifa.com/en/fifa13winter/player/148825-sotiris-ninis","S. Ninis")</f>
        <v>S. Ninis</v>
      </c>
      <c s="30" r="I2295">
        <v>74</v>
      </c>
      <c t="s" s="30" r="J2295">
        <v>162</v>
      </c>
      <c t="s" s="30" r="K2295">
        <v>130</v>
      </c>
      <c t="s" s="30" r="L2295">
        <v>122</v>
      </c>
      <c s="30" r="M2295">
        <v>22</v>
      </c>
      <c s="26" r="N2295">
        <v>4.1</v>
      </c>
      <c s="23" r="O2295">
        <v>0.01</v>
      </c>
      <c s="7" r="P2295"/>
      <c s="7" r="Q2295"/>
      <c s="7" r="R2295">
        <f>IF((P2295&gt;0),O2295,0)</f>
        <v>0</v>
      </c>
      <c t="str" r="S2295">
        <f>CONCATENATE(F2295,E2295)</f>
        <v>NON FTLNON FTL</v>
      </c>
    </row>
    <row r="2296">
      <c t="s" s="7" r="A2296">
        <v>201</v>
      </c>
      <c s="7" r="B2296">
        <v>2323</v>
      </c>
      <c s="30" r="C2296">
        <v>18</v>
      </c>
      <c t="s" s="30" r="D2296">
        <v>136</v>
      </c>
      <c t="s" s="30" r="E2296">
        <v>4</v>
      </c>
      <c t="s" s="30" r="F2296">
        <v>4</v>
      </c>
      <c t="s" s="30" r="G2296">
        <v>281</v>
      </c>
      <c t="str" s="12" r="H2296">
        <f>HYPERLINK("http://sofifa.com/en/fifa13winter/player/145384-massimo-gobbi","M. Gobbi")</f>
        <v>M. Gobbi</v>
      </c>
      <c s="30" r="I2296">
        <v>74</v>
      </c>
      <c t="s" s="30" r="J2296">
        <v>117</v>
      </c>
      <c t="s" s="30" r="K2296">
        <v>110</v>
      </c>
      <c t="s" s="30" r="L2296">
        <v>158</v>
      </c>
      <c s="30" r="M2296">
        <v>31</v>
      </c>
      <c s="26" r="N2296">
        <v>2.5</v>
      </c>
      <c s="23" r="O2296">
        <v>0.012</v>
      </c>
      <c s="7" r="P2296"/>
      <c s="7" r="Q2296"/>
      <c s="7" r="R2296">
        <f>IF((P2296&gt;0),O2296,0)</f>
        <v>0</v>
      </c>
      <c t="str" r="S2296">
        <f>CONCATENATE(F2296,E2296)</f>
        <v>NON FTLNON FTL</v>
      </c>
    </row>
    <row r="2297">
      <c t="s" s="7" r="A2297">
        <v>201</v>
      </c>
      <c s="7" r="B2297">
        <v>2324</v>
      </c>
      <c s="30" r="C2297">
        <v>1</v>
      </c>
      <c t="s" s="30" r="D2297">
        <v>136</v>
      </c>
      <c t="s" s="30" r="E2297">
        <v>4</v>
      </c>
      <c t="s" s="30" r="F2297">
        <v>4</v>
      </c>
      <c t="s" s="30" r="G2297">
        <v>281</v>
      </c>
      <c t="str" s="12" r="H2297">
        <f>HYPERLINK("http://sofifa.com/en/fifa13winter/player/142943-nicola-pavarini","N. Pavarini")</f>
        <v>N. Pavarini</v>
      </c>
      <c s="30" r="I2297">
        <v>66</v>
      </c>
      <c t="s" s="30" r="J2297">
        <v>106</v>
      </c>
      <c t="s" s="30" r="K2297">
        <v>152</v>
      </c>
      <c t="s" s="30" r="L2297">
        <v>183</v>
      </c>
      <c s="30" r="M2297">
        <v>38</v>
      </c>
      <c s="26" r="N2297">
        <v>0.4</v>
      </c>
      <c s="23" r="O2297">
        <v>0.007</v>
      </c>
      <c s="7" r="P2297"/>
      <c s="7" r="Q2297"/>
      <c s="7" r="R2297">
        <f>IF((P2297&gt;0),O2297,0)</f>
        <v>0</v>
      </c>
      <c t="str" r="S2297">
        <f>CONCATENATE(F2297,E2297)</f>
        <v>NON FTLNON FTL</v>
      </c>
    </row>
    <row r="2298">
      <c t="s" s="7" r="A2298">
        <v>201</v>
      </c>
      <c s="7" r="B2298">
        <v>2325</v>
      </c>
      <c s="30" r="C2298">
        <v>17</v>
      </c>
      <c t="s" s="30" r="D2298">
        <v>136</v>
      </c>
      <c t="s" s="30" r="E2298">
        <v>4</v>
      </c>
      <c t="s" s="30" r="F2298">
        <v>4</v>
      </c>
      <c t="s" s="30" r="G2298">
        <v>281</v>
      </c>
      <c t="str" s="12" r="H2298">
        <f>HYPERLINK("http://sofifa.com/en/fifa13winter/player/146648-raffaele-palladino","R. Palladino")</f>
        <v>R. Palladino</v>
      </c>
      <c s="30" r="I2298">
        <v>74</v>
      </c>
      <c t="s" s="30" r="J2298">
        <v>170</v>
      </c>
      <c t="s" s="30" r="K2298">
        <v>143</v>
      </c>
      <c t="s" s="30" r="L2298">
        <v>119</v>
      </c>
      <c s="30" r="M2298">
        <v>28</v>
      </c>
      <c s="26" r="N2298">
        <v>3.5</v>
      </c>
      <c s="23" r="O2298">
        <v>0.011</v>
      </c>
      <c s="7" r="P2298"/>
      <c s="7" r="Q2298"/>
      <c s="7" r="R2298">
        <f>IF((P2298&gt;0),O2298,0)</f>
        <v>0</v>
      </c>
      <c t="str" r="S2298">
        <f>CONCATENATE(F2298,E2298)</f>
        <v>NON FTLNON FTL</v>
      </c>
    </row>
    <row r="2299">
      <c t="s" s="7" r="A2299">
        <v>201</v>
      </c>
      <c s="7" r="B2299">
        <v>2326</v>
      </c>
      <c s="30" r="C2299">
        <v>15</v>
      </c>
      <c t="s" s="30" r="D2299">
        <v>136</v>
      </c>
      <c t="s" s="30" r="E2299">
        <v>4</v>
      </c>
      <c t="s" s="30" r="F2299">
        <v>4</v>
      </c>
      <c t="s" s="30" r="G2299">
        <v>281</v>
      </c>
      <c t="str" s="12" r="H2299">
        <f>HYPERLINK("http://sofifa.com/en/fifa13winter/player/147730-mcdonald-mariga","M. Mariga")</f>
        <v>M. Mariga</v>
      </c>
      <c s="30" r="I2299">
        <v>73</v>
      </c>
      <c t="s" s="30" r="J2299">
        <v>154</v>
      </c>
      <c t="s" s="30" r="K2299">
        <v>134</v>
      </c>
      <c t="s" s="30" r="L2299">
        <v>180</v>
      </c>
      <c s="30" r="M2299">
        <v>25</v>
      </c>
      <c s="26" r="N2299">
        <v>3.1</v>
      </c>
      <c s="23" r="O2299">
        <v>0.01</v>
      </c>
      <c s="7" r="P2299"/>
      <c s="7" r="Q2299"/>
      <c s="7" r="R2299">
        <f>IF((P2299&gt;0),O2299,0)</f>
        <v>0</v>
      </c>
      <c t="str" r="S2299">
        <f>CONCATENATE(F2299,E2299)</f>
        <v>NON FTLNON FTL</v>
      </c>
    </row>
    <row r="2300">
      <c t="s" s="7" r="A2300">
        <v>201</v>
      </c>
      <c s="7" r="B2300">
        <v>2327</v>
      </c>
      <c s="30" r="C2300">
        <v>13</v>
      </c>
      <c t="s" s="30" r="D2300">
        <v>147</v>
      </c>
      <c t="s" s="30" r="E2300">
        <v>4</v>
      </c>
      <c t="s" s="30" r="F2300">
        <v>4</v>
      </c>
      <c t="s" s="30" r="G2300">
        <v>281</v>
      </c>
      <c t="str" s="12" r="H2300">
        <f>HYPERLINK("http://sofifa.com/en/fifa13winter/player/147507-fabiano-santacroce","F. Santacroce")</f>
        <v>F. Santacroce</v>
      </c>
      <c s="30" r="I2300">
        <v>73</v>
      </c>
      <c t="s" s="30" r="J2300">
        <v>113</v>
      </c>
      <c t="s" s="30" r="K2300">
        <v>150</v>
      </c>
      <c t="s" s="30" r="L2300">
        <v>146</v>
      </c>
      <c s="30" r="M2300">
        <v>26</v>
      </c>
      <c s="26" r="N2300">
        <v>2.9</v>
      </c>
      <c s="23" r="O2300">
        <v>0.01</v>
      </c>
      <c s="7" r="P2300"/>
      <c s="7" r="Q2300"/>
      <c s="7" r="R2300">
        <f>IF((P2300&gt;0),O2300,0)</f>
        <v>0</v>
      </c>
      <c t="str" r="S2300">
        <f>CONCATENATE(F2300,E2300)</f>
        <v>NON FTLNON FTL</v>
      </c>
    </row>
    <row r="2301">
      <c t="s" s="7" r="A2301">
        <v>201</v>
      </c>
      <c s="7" r="B2301">
        <v>2328</v>
      </c>
      <c s="30" r="C2301">
        <v>8</v>
      </c>
      <c t="s" s="30" r="D2301">
        <v>147</v>
      </c>
      <c t="s" s="30" r="E2301">
        <v>4</v>
      </c>
      <c t="s" s="30" r="F2301">
        <v>4</v>
      </c>
      <c t="s" s="30" r="G2301">
        <v>281</v>
      </c>
      <c t="str" s="12" r="H2301">
        <f>HYPERLINK("http://sofifa.com/en/fifa13winter/player/147041-daniele-galloppa","D. Galloppa")</f>
        <v>D. Galloppa</v>
      </c>
      <c s="30" r="I2301">
        <v>75</v>
      </c>
      <c t="s" s="30" r="J2301">
        <v>124</v>
      </c>
      <c t="s" s="30" r="K2301">
        <v>150</v>
      </c>
      <c t="s" s="30" r="L2301">
        <v>160</v>
      </c>
      <c s="30" r="M2301">
        <v>27</v>
      </c>
      <c s="26" r="N2301">
        <v>4</v>
      </c>
      <c s="23" r="O2301">
        <v>0.013</v>
      </c>
      <c s="7" r="P2301"/>
      <c s="7" r="Q2301"/>
      <c s="7" r="R2301">
        <f>IF((P2301&gt;0),O2301,0)</f>
        <v>0</v>
      </c>
      <c t="str" r="S2301">
        <f>CONCATENATE(F2301,E2301)</f>
        <v>NON FTLNON FTL</v>
      </c>
    </row>
    <row r="2302">
      <c t="s" s="7" r="A2302">
        <v>201</v>
      </c>
      <c s="7" r="B2302">
        <v>2329</v>
      </c>
      <c s="30" r="C2302">
        <v>31</v>
      </c>
      <c t="s" s="30" r="D2302">
        <v>147</v>
      </c>
      <c t="s" s="30" r="E2302">
        <v>4</v>
      </c>
      <c t="s" s="30" r="F2302">
        <v>4</v>
      </c>
      <c t="s" s="30" r="G2302">
        <v>281</v>
      </c>
      <c t="str" s="12" r="H2302">
        <f>HYPERLINK("http://sofifa.com/en/fifa13winter/player/147021-andrea-coda","A. Coda")</f>
        <v>A. Coda</v>
      </c>
      <c s="30" r="I2302">
        <v>73</v>
      </c>
      <c t="s" s="30" r="J2302">
        <v>113</v>
      </c>
      <c t="s" s="30" r="K2302">
        <v>134</v>
      </c>
      <c t="s" s="30" r="L2302">
        <v>183</v>
      </c>
      <c s="30" r="M2302">
        <v>27</v>
      </c>
      <c s="26" r="N2302">
        <v>2.9</v>
      </c>
      <c s="23" r="O2302">
        <v>0.01</v>
      </c>
      <c s="7" r="P2302"/>
      <c s="7" r="Q2302"/>
      <c s="7" r="R2302">
        <f>IF((P2302&gt;0),O2302,0)</f>
        <v>0</v>
      </c>
      <c t="str" r="S2302">
        <f>CONCATENATE(F2302,E2302)</f>
        <v>NON FTLNON FTL</v>
      </c>
    </row>
    <row r="2303">
      <c t="s" s="7" r="A2303">
        <v>201</v>
      </c>
      <c s="7" r="B2303">
        <v>2330</v>
      </c>
      <c s="30" r="C2303">
        <v>91</v>
      </c>
      <c t="s" s="30" r="D2303">
        <v>147</v>
      </c>
      <c t="s" s="30" r="E2303">
        <v>4</v>
      </c>
      <c t="s" s="30" r="F2303">
        <v>4</v>
      </c>
      <c t="s" s="30" r="G2303">
        <v>281</v>
      </c>
      <c t="str" s="12" r="H2303">
        <f>HYPERLINK("http://sofifa.com/en/fifa13winter/player/149344-pavol-bajza","P. Bajza")</f>
        <v>P. Bajza</v>
      </c>
      <c s="30" r="I2303">
        <v>62</v>
      </c>
      <c t="s" s="30" r="J2303">
        <v>106</v>
      </c>
      <c t="s" s="30" r="K2303">
        <v>176</v>
      </c>
      <c t="s" s="30" r="L2303">
        <v>191</v>
      </c>
      <c s="30" r="M2303">
        <v>20</v>
      </c>
      <c s="26" r="N2303">
        <v>0.6</v>
      </c>
      <c s="23" r="O2303">
        <v>0.003</v>
      </c>
      <c s="7" r="P2303"/>
      <c s="7" r="Q2303"/>
      <c s="7" r="R2303">
        <f>IF((P2303&gt;0),O2303,0)</f>
        <v>0</v>
      </c>
      <c t="str" r="S2303">
        <f>CONCATENATE(F2303,E2303)</f>
        <v>NON FTLNON FTL</v>
      </c>
    </row>
    <row r="2304">
      <c t="s" s="7" r="A2304">
        <v>201</v>
      </c>
      <c s="7" r="B2304">
        <v>2331</v>
      </c>
      <c s="30" r="C2304">
        <v>22</v>
      </c>
      <c t="s" s="30" r="D2304">
        <v>106</v>
      </c>
      <c t="s" s="30" r="E2304">
        <v>4</v>
      </c>
      <c t="s" s="30" r="F2304">
        <v>4</v>
      </c>
      <c t="s" s="30" r="G2304">
        <v>282</v>
      </c>
      <c t="str" s="12" r="H2304">
        <f>HYPERLINK("http://sofifa.com/en/fifa13winter/player/146793-brad-guzan","B. Guzan")</f>
        <v>B. Guzan</v>
      </c>
      <c s="30" r="I2304">
        <v>77</v>
      </c>
      <c t="s" s="30" r="J2304">
        <v>106</v>
      </c>
      <c t="s" s="30" r="K2304">
        <v>107</v>
      </c>
      <c t="s" s="30" r="L2304">
        <v>194</v>
      </c>
      <c s="30" r="M2304">
        <v>27</v>
      </c>
      <c s="26" r="N2304">
        <v>4.6</v>
      </c>
      <c s="23" r="O2304">
        <v>0.017</v>
      </c>
      <c s="7" r="P2304"/>
      <c s="7" r="Q2304"/>
      <c s="7" r="R2304">
        <f>IF((P2304&gt;0),O2304,0)</f>
        <v>0</v>
      </c>
      <c t="str" r="S2304">
        <f>CONCATENATE(F2304,E2304)</f>
        <v>NON FTLNON FTL</v>
      </c>
    </row>
    <row r="2305">
      <c t="s" s="7" r="A2305">
        <v>201</v>
      </c>
      <c s="7" r="B2305">
        <v>2332</v>
      </c>
      <c s="30" r="C2305">
        <v>34</v>
      </c>
      <c t="s" s="30" r="D2305">
        <v>109</v>
      </c>
      <c t="s" s="30" r="E2305">
        <v>4</v>
      </c>
      <c t="s" s="30" r="F2305">
        <v>4</v>
      </c>
      <c t="s" s="30" r="G2305">
        <v>282</v>
      </c>
      <c t="str" s="12" r="H2305">
        <f>HYPERLINK("http://sofifa.com/en/fifa13winter/player/148527-matthew-lowton","M. Lowton")</f>
        <v>M. Lowton</v>
      </c>
      <c s="30" r="I2305">
        <v>73</v>
      </c>
      <c t="s" s="30" r="J2305">
        <v>109</v>
      </c>
      <c t="s" s="30" r="K2305">
        <v>114</v>
      </c>
      <c t="s" s="30" r="L2305">
        <v>161</v>
      </c>
      <c s="30" r="M2305">
        <v>23</v>
      </c>
      <c s="26" r="N2305">
        <v>2.9</v>
      </c>
      <c s="23" r="O2305">
        <v>0.009</v>
      </c>
      <c s="7" r="P2305"/>
      <c s="7" r="Q2305"/>
      <c s="7" r="R2305">
        <f>IF((P2305&gt;0),O2305,0)</f>
        <v>0</v>
      </c>
      <c t="str" r="S2305">
        <f>CONCATENATE(F2305,E2305)</f>
        <v>NON FTLNON FTL</v>
      </c>
    </row>
    <row r="2306">
      <c t="s" s="7" r="A2306">
        <v>201</v>
      </c>
      <c s="7" r="B2306">
        <v>2333</v>
      </c>
      <c s="30" r="C2306">
        <v>4</v>
      </c>
      <c t="s" s="30" r="D2306">
        <v>112</v>
      </c>
      <c t="s" s="30" r="E2306">
        <v>4</v>
      </c>
      <c t="s" s="30" r="F2306">
        <v>4</v>
      </c>
      <c t="s" s="30" r="G2306">
        <v>282</v>
      </c>
      <c t="str" s="12" r="H2306">
        <f>HYPERLINK("http://sofifa.com/en/fifa13winter/player/146953-ron-vlaar","R. Vlaar")</f>
        <v>R. Vlaar</v>
      </c>
      <c s="30" r="I2306">
        <v>78</v>
      </c>
      <c t="s" s="30" r="J2306">
        <v>113</v>
      </c>
      <c t="s" s="30" r="K2306">
        <v>169</v>
      </c>
      <c t="s" s="30" r="L2306">
        <v>153</v>
      </c>
      <c s="30" r="M2306">
        <v>27</v>
      </c>
      <c s="26" r="N2306">
        <v>6.7</v>
      </c>
      <c s="23" r="O2306">
        <v>0.019</v>
      </c>
      <c s="7" r="P2306"/>
      <c s="7" r="Q2306"/>
      <c s="7" r="R2306">
        <f>IF((P2306&gt;0),O2306,0)</f>
        <v>0</v>
      </c>
      <c t="str" r="S2306">
        <f>CONCATENATE(F2306,E2306)</f>
        <v>NON FTLNON FTL</v>
      </c>
    </row>
    <row r="2307">
      <c t="s" s="7" r="A2307">
        <v>201</v>
      </c>
      <c s="7" r="B2307">
        <v>2334</v>
      </c>
      <c s="30" r="C2307">
        <v>32</v>
      </c>
      <c t="s" s="30" r="D2307">
        <v>116</v>
      </c>
      <c t="s" s="30" r="E2307">
        <v>4</v>
      </c>
      <c t="s" s="30" r="F2307">
        <v>4</v>
      </c>
      <c t="s" s="30" r="G2307">
        <v>282</v>
      </c>
      <c t="str" s="12" r="H2307">
        <f>HYPERLINK("http://sofifa.com/en/fifa13winter/player/149210-nathan-baker","N. Baker")</f>
        <v>N. Baker</v>
      </c>
      <c s="30" r="I2307">
        <v>71</v>
      </c>
      <c t="s" s="30" r="J2307">
        <v>113</v>
      </c>
      <c t="s" s="30" r="K2307">
        <v>169</v>
      </c>
      <c t="s" s="30" r="L2307">
        <v>193</v>
      </c>
      <c s="30" r="M2307">
        <v>21</v>
      </c>
      <c s="26" r="N2307">
        <v>2.4</v>
      </c>
      <c s="23" r="O2307">
        <v>0.007</v>
      </c>
      <c s="7" r="P2307"/>
      <c s="7" r="Q2307"/>
      <c s="7" r="R2307">
        <f>IF((P2307&gt;0),O2307,0)</f>
        <v>0</v>
      </c>
      <c t="str" r="S2307">
        <f>CONCATENATE(F2307,E2307)</f>
        <v>NON FTLNON FTL</v>
      </c>
    </row>
    <row r="2308">
      <c t="s" s="7" r="A2308">
        <v>201</v>
      </c>
      <c s="7" r="B2308">
        <v>2335</v>
      </c>
      <c s="30" r="C2308">
        <v>27</v>
      </c>
      <c t="s" s="30" r="D2308">
        <v>117</v>
      </c>
      <c t="s" s="30" r="E2308">
        <v>4</v>
      </c>
      <c t="s" s="30" r="F2308">
        <v>4</v>
      </c>
      <c t="s" s="30" r="G2308">
        <v>282</v>
      </c>
      <c t="str" s="12" r="H2308">
        <f>HYPERLINK("http://sofifa.com/en/fifa13winter/player/148819-joe-bennett","J. Bennett")</f>
        <v>J. Bennett</v>
      </c>
      <c s="30" r="I2308">
        <v>65</v>
      </c>
      <c t="s" s="30" r="J2308">
        <v>117</v>
      </c>
      <c t="s" s="30" r="K2308">
        <v>159</v>
      </c>
      <c t="s" s="30" r="L2308">
        <v>160</v>
      </c>
      <c s="30" r="M2308">
        <v>22</v>
      </c>
      <c s="26" r="N2308">
        <v>1</v>
      </c>
      <c s="23" r="O2308">
        <v>0.004</v>
      </c>
      <c s="7" r="P2308"/>
      <c s="7" r="Q2308"/>
      <c s="7" r="R2308">
        <f>IF((P2308&gt;0),O2308,0)</f>
        <v>0</v>
      </c>
      <c t="str" r="S2308">
        <f>CONCATENATE(F2308,E2308)</f>
        <v>NON FTLNON FTL</v>
      </c>
    </row>
    <row r="2309">
      <c t="s" s="7" r="A2309">
        <v>201</v>
      </c>
      <c s="7" r="B2309">
        <v>2336</v>
      </c>
      <c s="30" r="C2309">
        <v>18</v>
      </c>
      <c t="s" s="30" r="D2309">
        <v>123</v>
      </c>
      <c t="s" s="30" r="E2309">
        <v>4</v>
      </c>
      <c t="s" s="30" r="F2309">
        <v>4</v>
      </c>
      <c t="s" s="30" r="G2309">
        <v>282</v>
      </c>
      <c t="str" s="12" r="H2309">
        <f>HYPERLINK("http://sofifa.com/en/fifa13winter/player/149065-yacouba-sylla","Y. Sylla")</f>
        <v>Y. Sylla</v>
      </c>
      <c s="30" r="I2309">
        <v>69</v>
      </c>
      <c t="s" s="30" r="J2309">
        <v>154</v>
      </c>
      <c t="s" s="30" r="K2309">
        <v>167</v>
      </c>
      <c t="s" s="30" r="L2309">
        <v>153</v>
      </c>
      <c s="30" r="M2309">
        <v>21</v>
      </c>
      <c s="26" r="N2309">
        <v>1.8</v>
      </c>
      <c s="23" r="O2309">
        <v>0.006</v>
      </c>
      <c s="7" r="P2309"/>
      <c s="7" r="Q2309"/>
      <c s="7" r="R2309">
        <f>IF((P2309&gt;0),O2309,0)</f>
        <v>0</v>
      </c>
      <c t="str" r="S2309">
        <f>CONCATENATE(F2309,E2309)</f>
        <v>NON FTLNON FTL</v>
      </c>
    </row>
    <row r="2310">
      <c t="s" s="7" r="A2310">
        <v>201</v>
      </c>
      <c s="7" r="B2310">
        <v>2337</v>
      </c>
      <c s="30" r="C2310">
        <v>15</v>
      </c>
      <c t="s" s="30" r="D2310">
        <v>124</v>
      </c>
      <c t="s" s="30" r="E2310">
        <v>4</v>
      </c>
      <c t="s" s="30" r="F2310">
        <v>4</v>
      </c>
      <c t="s" s="30" r="G2310">
        <v>282</v>
      </c>
      <c t="str" s="12" r="H2310">
        <f>HYPERLINK("http://sofifa.com/en/fifa13winter/player/148823-ashley-westwood","A. Westwood")</f>
        <v>A. Westwood</v>
      </c>
      <c s="30" r="I2310">
        <v>70</v>
      </c>
      <c t="s" s="30" r="J2310">
        <v>154</v>
      </c>
      <c t="s" s="30" r="K2310">
        <v>139</v>
      </c>
      <c t="s" s="30" r="L2310">
        <v>163</v>
      </c>
      <c s="30" r="M2310">
        <v>22</v>
      </c>
      <c s="26" r="N2310">
        <v>1.8</v>
      </c>
      <c s="23" r="O2310">
        <v>0.006</v>
      </c>
      <c s="7" r="P2310"/>
      <c s="7" r="Q2310"/>
      <c s="7" r="R2310">
        <f>IF((P2310&gt;0),O2310,0)</f>
        <v>0</v>
      </c>
      <c t="str" r="S2310">
        <f>CONCATENATE(F2310,E2310)</f>
        <v>NON FTLNON FTL</v>
      </c>
    </row>
    <row r="2311">
      <c t="s" s="7" r="A2311">
        <v>201</v>
      </c>
      <c s="7" r="B2311">
        <v>2338</v>
      </c>
      <c s="30" r="C2311">
        <v>16</v>
      </c>
      <c t="s" s="30" r="D2311">
        <v>126</v>
      </c>
      <c t="s" s="30" r="E2311">
        <v>4</v>
      </c>
      <c t="s" s="30" r="F2311">
        <v>4</v>
      </c>
      <c t="s" s="30" r="G2311">
        <v>282</v>
      </c>
      <c t="str" s="12" r="H2311">
        <f>HYPERLINK("http://sofifa.com/en/fifa13winter/player/148692-fabian-delph","F. Delph")</f>
        <v>F. Delph</v>
      </c>
      <c s="30" r="I2311">
        <v>71</v>
      </c>
      <c t="s" s="30" r="J2311">
        <v>124</v>
      </c>
      <c t="s" s="30" r="K2311">
        <v>182</v>
      </c>
      <c t="s" s="30" r="L2311">
        <v>127</v>
      </c>
      <c s="30" r="M2311">
        <v>22</v>
      </c>
      <c s="26" r="N2311">
        <v>2.5</v>
      </c>
      <c s="23" r="O2311">
        <v>0.007</v>
      </c>
      <c s="7" r="P2311"/>
      <c s="7" r="Q2311"/>
      <c s="7" r="R2311">
        <f>IF((P2311&gt;0),O2311,0)</f>
        <v>0</v>
      </c>
      <c t="str" r="S2311">
        <f>CONCATENATE(F2311,E2311)</f>
        <v>NON FTLNON FTL</v>
      </c>
    </row>
    <row r="2312">
      <c t="s" s="7" r="A2312">
        <v>201</v>
      </c>
      <c s="7" r="B2312">
        <v>2339</v>
      </c>
      <c s="30" r="C2312">
        <v>26</v>
      </c>
      <c t="s" s="30" r="D2312">
        <v>221</v>
      </c>
      <c t="s" s="30" r="E2312">
        <v>4</v>
      </c>
      <c t="s" s="30" r="F2312">
        <v>4</v>
      </c>
      <c t="s" s="30" r="G2312">
        <v>282</v>
      </c>
      <c t="str" s="12" r="H2312">
        <f>HYPERLINK("http://sofifa.com/en/fifa13winter/player/149314-andreas-weimann","A. Weimann")</f>
        <v>A. Weimann</v>
      </c>
      <c s="30" r="I2312">
        <v>72</v>
      </c>
      <c t="s" s="30" r="J2312">
        <v>129</v>
      </c>
      <c t="s" s="30" r="K2312">
        <v>145</v>
      </c>
      <c t="s" s="30" r="L2312">
        <v>137</v>
      </c>
      <c s="30" r="M2312">
        <v>21</v>
      </c>
      <c s="26" r="N2312">
        <v>3.4</v>
      </c>
      <c s="23" r="O2312">
        <v>0.008</v>
      </c>
      <c s="7" r="P2312"/>
      <c s="7" r="Q2312"/>
      <c s="7" r="R2312">
        <f>IF((P2312&gt;0),O2312,0)</f>
        <v>0</v>
      </c>
      <c t="str" r="S2312">
        <f>CONCATENATE(F2312,E2312)</f>
        <v>NON FTLNON FTL</v>
      </c>
    </row>
    <row r="2313">
      <c t="s" s="7" r="A2313">
        <v>201</v>
      </c>
      <c s="7" r="B2313">
        <v>2340</v>
      </c>
      <c s="30" r="C2313">
        <v>11</v>
      </c>
      <c t="s" s="30" r="D2313">
        <v>222</v>
      </c>
      <c t="s" s="30" r="E2313">
        <v>4</v>
      </c>
      <c t="s" s="30" r="F2313">
        <v>4</v>
      </c>
      <c t="s" s="30" r="G2313">
        <v>282</v>
      </c>
      <c t="str" s="12" r="H2313">
        <f>HYPERLINK("http://sofifa.com/en/fifa13winter/player/147557-gabriel-agbonlahor","G. Agbonlahor")</f>
        <v>G. Agbonlahor</v>
      </c>
      <c s="30" r="I2313">
        <v>73</v>
      </c>
      <c t="s" s="30" r="J2313">
        <v>170</v>
      </c>
      <c t="s" s="30" r="K2313">
        <v>114</v>
      </c>
      <c t="s" s="30" r="L2313">
        <v>158</v>
      </c>
      <c s="30" r="M2313">
        <v>25</v>
      </c>
      <c s="26" r="N2313">
        <v>3.6</v>
      </c>
      <c s="23" r="O2313">
        <v>0.01</v>
      </c>
      <c s="7" r="P2313"/>
      <c s="7" r="Q2313"/>
      <c s="7" r="R2313">
        <f>IF((P2313&gt;0),O2313,0)</f>
        <v>0</v>
      </c>
      <c t="str" r="S2313">
        <f>CONCATENATE(F2313,E2313)</f>
        <v>NON FTLNON FTL</v>
      </c>
    </row>
    <row r="2314">
      <c t="s" s="7" r="A2314">
        <v>201</v>
      </c>
      <c s="7" r="B2314">
        <v>2341</v>
      </c>
      <c s="30" r="C2314">
        <v>20</v>
      </c>
      <c t="s" s="30" r="D2314">
        <v>129</v>
      </c>
      <c t="s" s="30" r="E2314">
        <v>4</v>
      </c>
      <c t="s" s="30" r="F2314">
        <v>4</v>
      </c>
      <c t="s" s="30" r="G2314">
        <v>282</v>
      </c>
      <c t="str" s="12" r="H2314">
        <f>HYPERLINK("http://sofifa.com/en/fifa13winter/player/149069-christian-benteke","C. Benteke")</f>
        <v>C. Benteke</v>
      </c>
      <c s="30" r="I2314">
        <v>77</v>
      </c>
      <c t="s" s="30" r="J2314">
        <v>129</v>
      </c>
      <c t="s" s="30" r="K2314">
        <v>165</v>
      </c>
      <c t="s" s="30" r="L2314">
        <v>180</v>
      </c>
      <c s="30" r="M2314">
        <v>21</v>
      </c>
      <c s="26" r="N2314">
        <v>8.1</v>
      </c>
      <c s="23" r="O2314">
        <v>0.015</v>
      </c>
      <c s="7" r="P2314"/>
      <c s="7" r="Q2314"/>
      <c s="7" r="R2314">
        <f>IF((P2314&gt;0),O2314,0)</f>
        <v>0</v>
      </c>
      <c t="str" r="S2314">
        <f>CONCATENATE(F2314,E2314)</f>
        <v>NON FTLNON FTL</v>
      </c>
    </row>
    <row r="2315">
      <c t="s" s="7" r="A2315">
        <v>201</v>
      </c>
      <c s="7" r="B2315">
        <v>2342</v>
      </c>
      <c s="30" r="C2315">
        <v>38</v>
      </c>
      <c t="s" s="30" r="D2315">
        <v>136</v>
      </c>
      <c t="s" s="30" r="E2315">
        <v>4</v>
      </c>
      <c t="s" s="30" r="F2315">
        <v>4</v>
      </c>
      <c t="s" s="30" r="G2315">
        <v>282</v>
      </c>
      <c t="str" s="12" r="H2315">
        <f>HYPERLINK("http://sofifa.com/en/fifa13winter/player/149643-gary-gardner","G. Gardner")</f>
        <v>G. Gardner</v>
      </c>
      <c s="30" r="I2315">
        <v>69</v>
      </c>
      <c t="s" s="30" r="J2315">
        <v>124</v>
      </c>
      <c t="s" s="30" r="K2315">
        <v>134</v>
      </c>
      <c t="s" s="30" r="L2315">
        <v>193</v>
      </c>
      <c s="30" r="M2315">
        <v>20</v>
      </c>
      <c s="26" r="N2315">
        <v>1.9</v>
      </c>
      <c s="23" r="O2315">
        <v>0.005</v>
      </c>
      <c s="7" r="P2315"/>
      <c s="7" r="Q2315"/>
      <c s="7" r="R2315">
        <f>IF((P2315&gt;0),O2315,0)</f>
        <v>0</v>
      </c>
      <c t="str" r="S2315">
        <f>CONCATENATE(F2315,E2315)</f>
        <v>NON FTLNON FTL</v>
      </c>
    </row>
    <row r="2316">
      <c t="s" s="7" r="A2316">
        <v>201</v>
      </c>
      <c s="7" r="B2316">
        <v>2343</v>
      </c>
      <c s="30" r="C2316">
        <v>29</v>
      </c>
      <c t="s" s="30" r="D2316">
        <v>136</v>
      </c>
      <c t="s" s="30" r="E2316">
        <v>4</v>
      </c>
      <c t="s" s="30" r="F2316">
        <v>4</v>
      </c>
      <c t="s" s="30" r="G2316">
        <v>282</v>
      </c>
      <c t="str" s="12" r="H2316">
        <f>HYPERLINK("http://sofifa.com/en/fifa13winter/player/148922-enda-stevens","E. Stevens")</f>
        <v>E. Stevens</v>
      </c>
      <c s="30" r="I2316">
        <v>62</v>
      </c>
      <c t="s" s="30" r="J2316">
        <v>117</v>
      </c>
      <c t="s" s="30" r="K2316">
        <v>110</v>
      </c>
      <c t="s" s="30" r="L2316">
        <v>161</v>
      </c>
      <c s="30" r="M2316">
        <v>22</v>
      </c>
      <c s="26" r="N2316">
        <v>0.7</v>
      </c>
      <c s="23" r="O2316">
        <v>0.003</v>
      </c>
      <c s="7" r="P2316"/>
      <c s="7" r="Q2316"/>
      <c s="7" r="R2316">
        <f>IF((P2316&gt;0),O2316,0)</f>
        <v>0</v>
      </c>
      <c t="str" r="S2316">
        <f>CONCATENATE(F2316,E2316)</f>
        <v>NON FTLNON FTL</v>
      </c>
    </row>
    <row r="2317">
      <c t="s" s="7" r="A2317">
        <v>201</v>
      </c>
      <c s="7" r="B2317">
        <v>2344</v>
      </c>
      <c s="30" r="C2317">
        <v>21</v>
      </c>
      <c t="s" s="30" r="D2317">
        <v>136</v>
      </c>
      <c t="s" s="30" r="E2317">
        <v>4</v>
      </c>
      <c t="s" s="30" r="F2317">
        <v>4</v>
      </c>
      <c t="s" s="30" r="G2317">
        <v>282</v>
      </c>
      <c t="str" s="12" r="H2317">
        <f>HYPERLINK("http://sofifa.com/en/fifa13winter/player/149280-jordan-bowery","J. Bowery")</f>
        <v>J. Bowery</v>
      </c>
      <c s="30" r="I2317">
        <v>59</v>
      </c>
      <c t="s" s="30" r="J2317">
        <v>129</v>
      </c>
      <c t="s" s="30" r="K2317">
        <v>132</v>
      </c>
      <c t="s" s="30" r="L2317">
        <v>137</v>
      </c>
      <c s="30" r="M2317">
        <v>21</v>
      </c>
      <c s="26" r="N2317">
        <v>0.5</v>
      </c>
      <c s="23" r="O2317">
        <v>0.003</v>
      </c>
      <c s="7" r="P2317"/>
      <c s="7" r="Q2317"/>
      <c s="7" r="R2317">
        <f>IF((P2317&gt;0),O2317,0)</f>
        <v>0</v>
      </c>
      <c t="str" r="S2317">
        <f>CONCATENATE(F2317,E2317)</f>
        <v>NON FTLNON FTL</v>
      </c>
    </row>
    <row r="2318">
      <c t="s" s="7" r="A2318">
        <v>201</v>
      </c>
      <c s="7" r="B2318">
        <v>2345</v>
      </c>
      <c s="30" r="C2318">
        <v>7</v>
      </c>
      <c t="s" s="30" r="D2318">
        <v>136</v>
      </c>
      <c t="s" s="30" r="E2318">
        <v>4</v>
      </c>
      <c t="s" s="30" r="F2318">
        <v>4</v>
      </c>
      <c t="s" s="30" r="G2318">
        <v>282</v>
      </c>
      <c t="str" s="12" r="H2318">
        <f>HYPERLINK("http://sofifa.com/en/fifa13winter/player/147505-stephen-ireland","S. Ireland")</f>
        <v>S. Ireland</v>
      </c>
      <c s="30" r="I2318">
        <v>77</v>
      </c>
      <c t="s" s="30" r="J2318">
        <v>162</v>
      </c>
      <c t="s" s="30" r="K2318">
        <v>130</v>
      </c>
      <c t="s" s="30" r="L2318">
        <v>125</v>
      </c>
      <c s="30" r="M2318">
        <v>26</v>
      </c>
      <c s="26" r="N2318">
        <v>6.4</v>
      </c>
      <c s="23" r="O2318">
        <v>0.017</v>
      </c>
      <c s="7" r="P2318"/>
      <c s="7" r="Q2318"/>
      <c s="7" r="R2318">
        <f>IF((P2318&gt;0),O2318,0)</f>
        <v>0</v>
      </c>
      <c t="str" r="S2318">
        <f>CONCATENATE(F2318,E2318)</f>
        <v>NON FTLNON FTL</v>
      </c>
    </row>
    <row r="2319">
      <c t="s" s="7" r="A2319">
        <v>201</v>
      </c>
      <c s="7" r="B2319">
        <v>2346</v>
      </c>
      <c s="30" r="C2319">
        <v>8</v>
      </c>
      <c t="s" s="30" r="D2319">
        <v>136</v>
      </c>
      <c t="s" s="30" r="E2319">
        <v>4</v>
      </c>
      <c t="s" s="30" r="F2319">
        <v>4</v>
      </c>
      <c t="s" s="30" r="G2319">
        <v>282</v>
      </c>
      <c t="str" s="12" r="H2319">
        <f>HYPERLINK("http://sofifa.com/en/fifa13winter/player/146933-karim-el-ahmadi","K. El Ahmadi")</f>
        <v>K. El Ahmadi</v>
      </c>
      <c s="30" r="I2319">
        <v>74</v>
      </c>
      <c t="s" s="30" r="J2319">
        <v>124</v>
      </c>
      <c t="s" s="30" r="K2319">
        <v>110</v>
      </c>
      <c t="s" s="30" r="L2319">
        <v>161</v>
      </c>
      <c s="30" r="M2319">
        <v>27</v>
      </c>
      <c s="26" r="N2319">
        <v>3.2</v>
      </c>
      <c s="23" r="O2319">
        <v>0.011</v>
      </c>
      <c s="7" r="P2319"/>
      <c s="7" r="Q2319"/>
      <c s="7" r="R2319">
        <f>IF((P2319&gt;0),O2319,0)</f>
        <v>0</v>
      </c>
      <c t="str" r="S2319">
        <f>CONCATENATE(F2319,E2319)</f>
        <v>NON FTLNON FTL</v>
      </c>
    </row>
    <row r="2320">
      <c t="s" s="7" r="A2320">
        <v>201</v>
      </c>
      <c s="7" r="B2320">
        <v>2347</v>
      </c>
      <c s="30" r="C2320">
        <v>10</v>
      </c>
      <c t="s" s="30" r="D2320">
        <v>136</v>
      </c>
      <c t="s" s="30" r="E2320">
        <v>4</v>
      </c>
      <c t="s" s="30" r="F2320">
        <v>4</v>
      </c>
      <c t="s" s="30" r="G2320">
        <v>282</v>
      </c>
      <c t="str" s="12" r="H2320">
        <f>HYPERLINK("http://sofifa.com/en/fifa13winter/player/147419-charles-nzogbia","C. N'Zogbia")</f>
        <v>C. N'Zogbia</v>
      </c>
      <c s="30" r="I2320">
        <v>76</v>
      </c>
      <c t="s" s="30" r="J2320">
        <v>162</v>
      </c>
      <c t="s" s="30" r="K2320">
        <v>195</v>
      </c>
      <c t="s" s="30" r="L2320">
        <v>122</v>
      </c>
      <c s="30" r="M2320">
        <v>26</v>
      </c>
      <c s="26" r="N2320">
        <v>6</v>
      </c>
      <c s="23" r="O2320">
        <v>0.015</v>
      </c>
      <c s="7" r="P2320"/>
      <c s="7" r="Q2320"/>
      <c s="7" r="R2320">
        <f>IF((P2320&gt;0),O2320,0)</f>
        <v>0</v>
      </c>
      <c t="str" r="S2320">
        <f>CONCATENATE(F2320,E2320)</f>
        <v>NON FTLNON FTL</v>
      </c>
    </row>
    <row r="2321">
      <c t="s" s="7" r="A2321">
        <v>201</v>
      </c>
      <c s="7" r="B2321">
        <v>2348</v>
      </c>
      <c s="30" r="C2321">
        <v>9</v>
      </c>
      <c t="s" s="30" r="D2321">
        <v>136</v>
      </c>
      <c t="s" s="30" r="E2321">
        <v>4</v>
      </c>
      <c t="s" s="30" r="F2321">
        <v>4</v>
      </c>
      <c t="s" s="30" r="G2321">
        <v>282</v>
      </c>
      <c t="str" s="12" r="H2321">
        <f>HYPERLINK("http://sofifa.com/en/fifa13winter/player/146577-darren-bent","D. Bent")</f>
        <v>D. Bent</v>
      </c>
      <c s="30" r="I2321">
        <v>81</v>
      </c>
      <c t="s" s="30" r="J2321">
        <v>129</v>
      </c>
      <c t="s" s="30" r="K2321">
        <v>114</v>
      </c>
      <c t="s" s="30" r="L2321">
        <v>119</v>
      </c>
      <c s="30" r="M2321">
        <v>28</v>
      </c>
      <c s="26" r="N2321">
        <v>14</v>
      </c>
      <c s="23" r="O2321">
        <v>0.042</v>
      </c>
      <c s="7" r="P2321"/>
      <c s="7" r="Q2321"/>
      <c s="7" r="R2321">
        <f>IF((P2321&gt;0),O2321,0)</f>
        <v>0</v>
      </c>
      <c t="str" r="S2321">
        <f>CONCATENATE(F2321,E2321)</f>
        <v>NON FTLNON FTL</v>
      </c>
    </row>
    <row r="2322">
      <c t="s" s="7" r="A2322">
        <v>201</v>
      </c>
      <c s="7" r="B2322">
        <v>2349</v>
      </c>
      <c s="30" r="C2322">
        <v>6</v>
      </c>
      <c t="s" s="30" r="D2322">
        <v>136</v>
      </c>
      <c t="s" s="30" r="E2322">
        <v>4</v>
      </c>
      <c t="s" s="30" r="F2322">
        <v>4</v>
      </c>
      <c t="s" s="30" r="G2322">
        <v>282</v>
      </c>
      <c t="str" s="12" r="H2322">
        <f>HYPERLINK("http://sofifa.com/en/fifa13winter/player/148636-ciaran-clark","C. Clark")</f>
        <v>C. Clark</v>
      </c>
      <c s="30" r="I2322">
        <v>74</v>
      </c>
      <c t="s" s="30" r="J2322">
        <v>113</v>
      </c>
      <c t="s" s="30" r="K2322">
        <v>134</v>
      </c>
      <c t="s" s="30" r="L2322">
        <v>137</v>
      </c>
      <c s="30" r="M2322">
        <v>22</v>
      </c>
      <c s="26" r="N2322">
        <v>3.6</v>
      </c>
      <c s="23" r="O2322">
        <v>0.01</v>
      </c>
      <c s="7" r="P2322"/>
      <c s="7" r="Q2322"/>
      <c s="7" r="R2322">
        <f>IF((P2322&gt;0),O2322,0)</f>
        <v>0</v>
      </c>
      <c t="str" r="S2322">
        <f>CONCATENATE(F2322,E2322)</f>
        <v>NON FTLNON FTL</v>
      </c>
    </row>
    <row r="2323">
      <c t="s" s="7" r="A2323">
        <v>201</v>
      </c>
      <c s="7" r="B2323">
        <v>2350</v>
      </c>
      <c s="30" r="C2323">
        <v>12</v>
      </c>
      <c t="s" s="30" r="D2323">
        <v>136</v>
      </c>
      <c t="s" s="30" r="E2323">
        <v>4</v>
      </c>
      <c t="s" s="30" r="F2323">
        <v>4</v>
      </c>
      <c t="s" s="30" r="G2323">
        <v>282</v>
      </c>
      <c t="str" s="12" r="H2323">
        <f>HYPERLINK("http://sofifa.com/en/fifa13winter/player/148689-marc-albrighton","M. Albrighton")</f>
        <v>M. Albrighton</v>
      </c>
      <c s="30" r="I2323">
        <v>72</v>
      </c>
      <c t="s" s="30" r="J2323">
        <v>120</v>
      </c>
      <c t="s" s="30" r="K2323">
        <v>139</v>
      </c>
      <c t="s" s="30" r="L2323">
        <v>163</v>
      </c>
      <c s="30" r="M2323">
        <v>22</v>
      </c>
      <c s="26" r="N2323">
        <v>2.9</v>
      </c>
      <c s="23" r="O2323">
        <v>0.008</v>
      </c>
      <c s="7" r="P2323"/>
      <c s="7" r="Q2323"/>
      <c s="7" r="R2323">
        <f>IF((P2323&gt;0),O2323,0)</f>
        <v>0</v>
      </c>
      <c t="str" r="S2323">
        <f>CONCATENATE(F2323,E2323)</f>
        <v>NON FTLNON FTL</v>
      </c>
    </row>
    <row r="2324">
      <c t="s" s="7" r="A2324">
        <v>201</v>
      </c>
      <c s="7" r="B2324">
        <v>2351</v>
      </c>
      <c s="30" r="C2324">
        <v>25</v>
      </c>
      <c t="s" s="30" r="D2324">
        <v>136</v>
      </c>
      <c t="s" s="30" r="E2324">
        <v>4</v>
      </c>
      <c t="s" s="30" r="F2324">
        <v>4</v>
      </c>
      <c t="s" s="30" r="G2324">
        <v>282</v>
      </c>
      <c t="str" s="12" r="H2324">
        <f>HYPERLINK("http://sofifa.com/en/fifa13winter/player/148702-barry-bannan","B. Bannan")</f>
        <v>B. Bannan</v>
      </c>
      <c s="30" r="I2324">
        <v>71</v>
      </c>
      <c t="s" s="30" r="J2324">
        <v>124</v>
      </c>
      <c t="s" s="30" r="K2324">
        <v>205</v>
      </c>
      <c t="s" s="30" r="L2324">
        <v>140</v>
      </c>
      <c s="30" r="M2324">
        <v>22</v>
      </c>
      <c s="26" r="N2324">
        <v>2.3</v>
      </c>
      <c s="23" r="O2324">
        <v>0.007</v>
      </c>
      <c s="7" r="P2324"/>
      <c s="7" r="Q2324"/>
      <c s="7" r="R2324">
        <f>IF((P2324&gt;0),O2324,0)</f>
        <v>0</v>
      </c>
      <c t="str" r="S2324">
        <f>CONCATENATE(F2324,E2324)</f>
        <v>NON FTLNON FTL</v>
      </c>
    </row>
    <row r="2325">
      <c t="s" s="7" r="A2325">
        <v>201</v>
      </c>
      <c s="7" r="B2325">
        <v>2352</v>
      </c>
      <c s="30" r="C2325">
        <v>1</v>
      </c>
      <c t="s" s="30" r="D2325">
        <v>136</v>
      </c>
      <c t="s" s="30" r="E2325">
        <v>4</v>
      </c>
      <c t="s" s="30" r="F2325">
        <v>4</v>
      </c>
      <c t="s" s="30" r="G2325">
        <v>282</v>
      </c>
      <c t="str" s="12" r="H2325">
        <f>HYPERLINK("http://sofifa.com/en/fifa13winter/player/143729-shay-given","S. Given")</f>
        <v>S. Given</v>
      </c>
      <c s="30" r="I2325">
        <v>77</v>
      </c>
      <c t="s" s="30" r="J2325">
        <v>106</v>
      </c>
      <c t="s" s="30" r="K2325">
        <v>132</v>
      </c>
      <c t="s" s="30" r="L2325">
        <v>156</v>
      </c>
      <c s="30" r="M2325">
        <v>36</v>
      </c>
      <c s="26" r="N2325">
        <v>2.6</v>
      </c>
      <c s="23" r="O2325">
        <v>0.021</v>
      </c>
      <c s="7" r="P2325"/>
      <c s="7" r="Q2325"/>
      <c s="7" r="R2325">
        <f>IF((P2325&gt;0),O2325,0)</f>
        <v>0</v>
      </c>
      <c t="str" r="S2325">
        <f>CONCATENATE(F2325,E2325)</f>
        <v>NON FTLNON FTL</v>
      </c>
    </row>
    <row r="2326">
      <c t="s" s="7" r="A2326">
        <v>201</v>
      </c>
      <c s="7" r="B2326">
        <v>2353</v>
      </c>
      <c s="30" r="C2326">
        <v>14</v>
      </c>
      <c t="s" s="30" r="D2326">
        <v>136</v>
      </c>
      <c t="s" s="30" r="E2326">
        <v>4</v>
      </c>
      <c t="s" s="30" r="F2326">
        <v>4</v>
      </c>
      <c t="s" s="30" r="G2326">
        <v>282</v>
      </c>
      <c t="str" s="12" r="H2326">
        <f>HYPERLINK("http://sofifa.com/en/fifa13winter/player/146627-brett-holman","B. Holman")</f>
        <v>B. Holman</v>
      </c>
      <c s="30" r="I2326">
        <v>74</v>
      </c>
      <c t="s" s="30" r="J2326">
        <v>162</v>
      </c>
      <c t="s" s="30" r="K2326">
        <v>159</v>
      </c>
      <c t="s" s="30" r="L2326">
        <v>151</v>
      </c>
      <c s="30" r="M2326">
        <v>28</v>
      </c>
      <c s="26" r="N2326">
        <v>3.9</v>
      </c>
      <c s="23" r="O2326">
        <v>0.011</v>
      </c>
      <c s="7" r="P2326"/>
      <c s="7" r="Q2326"/>
      <c s="7" r="R2326">
        <f>IF((P2326&gt;0),O2326,0)</f>
        <v>0</v>
      </c>
      <c t="str" r="S2326">
        <f>CONCATENATE(F2326,E2326)</f>
        <v>NON FTLNON FTL</v>
      </c>
    </row>
    <row r="2327">
      <c t="s" s="7" r="A2327">
        <v>201</v>
      </c>
      <c s="7" r="B2327">
        <v>2354</v>
      </c>
      <c s="30" r="C2327">
        <v>39</v>
      </c>
      <c t="s" s="30" r="D2327">
        <v>147</v>
      </c>
      <c t="s" s="30" r="E2327">
        <v>4</v>
      </c>
      <c t="s" s="30" r="F2327">
        <v>4</v>
      </c>
      <c t="s" s="30" r="G2327">
        <v>282</v>
      </c>
      <c t="str" s="12" r="H2327">
        <f>HYPERLINK("http://sofifa.com/en/fifa13winter/player/149493-benjamin-siegrist","B. Siegrist")</f>
        <v>B. Siegrist</v>
      </c>
      <c s="30" r="I2327">
        <v>64</v>
      </c>
      <c t="s" s="30" r="J2327">
        <v>106</v>
      </c>
      <c t="s" s="30" r="K2327">
        <v>188</v>
      </c>
      <c t="s" s="30" r="L2327">
        <v>179</v>
      </c>
      <c s="30" r="M2327">
        <v>20</v>
      </c>
      <c s="26" r="N2327">
        <v>0.8</v>
      </c>
      <c s="23" r="O2327">
        <v>0.004</v>
      </c>
      <c s="7" r="P2327"/>
      <c s="7" r="Q2327"/>
      <c s="7" r="R2327">
        <f>IF((P2327&gt;0),O2327,0)</f>
        <v>0</v>
      </c>
      <c t="str" r="S2327">
        <f>CONCATENATE(F2327,E2327)</f>
        <v>NON FTLNON FTL</v>
      </c>
    </row>
    <row r="2328">
      <c t="s" s="7" r="A2328">
        <v>201</v>
      </c>
      <c s="7" r="B2328">
        <v>2355</v>
      </c>
      <c s="30" r="C2328">
        <v>37</v>
      </c>
      <c t="s" s="30" r="D2328">
        <v>147</v>
      </c>
      <c t="s" s="30" r="E2328">
        <v>4</v>
      </c>
      <c t="s" s="30" r="F2328">
        <v>4</v>
      </c>
      <c t="s" s="30" r="G2328">
        <v>282</v>
      </c>
      <c t="str" s="12" r="H2328">
        <f>HYPERLINK("http://sofifa.com/en/fifa13winter/player/149845-derrick-williams","D. Williams")</f>
        <v>D. Williams</v>
      </c>
      <c s="30" r="I2328">
        <v>61</v>
      </c>
      <c t="s" s="30" r="J2328">
        <v>113</v>
      </c>
      <c t="s" s="30" r="K2328">
        <v>114</v>
      </c>
      <c t="s" s="30" r="L2328">
        <v>151</v>
      </c>
      <c s="30" r="M2328">
        <v>19</v>
      </c>
      <c s="26" r="N2328">
        <v>0.7</v>
      </c>
      <c s="23" r="O2328">
        <v>0.003</v>
      </c>
      <c s="7" r="P2328"/>
      <c s="7" r="Q2328"/>
      <c s="7" r="R2328">
        <f>IF((P2328&gt;0),O2328,0)</f>
        <v>0</v>
      </c>
      <c t="str" r="S2328">
        <f>CONCATENATE(F2328,E2328)</f>
        <v>NON FTLNON FTL</v>
      </c>
    </row>
    <row r="2329">
      <c t="s" s="7" r="A2329">
        <v>201</v>
      </c>
      <c s="7" r="B2329">
        <v>2356</v>
      </c>
      <c s="30" r="C2329">
        <v>40</v>
      </c>
      <c t="s" s="30" r="D2329">
        <v>147</v>
      </c>
      <c t="s" s="30" r="E2329">
        <v>4</v>
      </c>
      <c t="s" s="30" r="F2329">
        <v>4</v>
      </c>
      <c t="s" s="30" r="G2329">
        <v>282</v>
      </c>
      <c t="str" s="12" r="H2329">
        <f>HYPERLINK("http://sofifa.com/en/fifa13winter/player/149922-samir-carruthers","S. Carruthers")</f>
        <v>S. Carruthers</v>
      </c>
      <c s="30" r="I2329">
        <v>68</v>
      </c>
      <c t="s" s="30" r="J2329">
        <v>162</v>
      </c>
      <c t="s" s="30" r="K2329">
        <v>130</v>
      </c>
      <c t="s" s="30" r="L2329">
        <v>122</v>
      </c>
      <c s="30" r="M2329">
        <v>19</v>
      </c>
      <c s="26" r="N2329">
        <v>2</v>
      </c>
      <c s="23" r="O2329">
        <v>0.005</v>
      </c>
      <c s="7" r="P2329"/>
      <c s="7" r="Q2329"/>
      <c s="7" r="R2329">
        <f>IF((P2329&gt;0),O2329,0)</f>
        <v>0</v>
      </c>
      <c t="str" r="S2329">
        <f>CONCATENATE(F2329,E2329)</f>
        <v>NON FTLNON FTL</v>
      </c>
    </row>
    <row r="2330">
      <c t="s" s="7" r="A2330">
        <v>201</v>
      </c>
      <c s="7" r="B2330">
        <v>2357</v>
      </c>
      <c s="30" r="C2330">
        <v>41</v>
      </c>
      <c t="s" s="30" r="D2330">
        <v>147</v>
      </c>
      <c t="s" s="30" r="E2330">
        <v>4</v>
      </c>
      <c t="s" s="30" r="F2330">
        <v>4</v>
      </c>
      <c t="s" s="30" r="G2330">
        <v>282</v>
      </c>
      <c t="str" s="12" r="H2330">
        <f>HYPERLINK("http://sofifa.com/en/fifa13winter/player/150811-jack-grealish","J. Grealish")</f>
        <v>J. Grealish</v>
      </c>
      <c s="30" r="I2330">
        <v>64</v>
      </c>
      <c t="s" s="30" r="J2330">
        <v>128</v>
      </c>
      <c t="s" s="30" r="K2330">
        <v>118</v>
      </c>
      <c t="s" s="30" r="L2330">
        <v>164</v>
      </c>
      <c s="30" r="M2330">
        <v>16</v>
      </c>
      <c s="26" r="N2330">
        <v>1.1</v>
      </c>
      <c s="23" r="O2330">
        <v>0.003</v>
      </c>
      <c s="7" r="P2330"/>
      <c s="7" r="Q2330"/>
      <c s="7" r="R2330">
        <f>IF((P2330&gt;0),O2330,0)</f>
        <v>0</v>
      </c>
      <c t="str" r="S2330">
        <f>CONCATENATE(F2330,E2330)</f>
        <v>NON FTLNON FTL</v>
      </c>
    </row>
    <row r="2331">
      <c t="s" s="7" r="A2331">
        <v>201</v>
      </c>
      <c s="7" r="B2331">
        <v>2358</v>
      </c>
      <c s="30" r="C2331">
        <v>35</v>
      </c>
      <c t="s" s="30" r="D2331">
        <v>147</v>
      </c>
      <c t="s" s="30" r="E2331">
        <v>4</v>
      </c>
      <c t="s" s="30" r="F2331">
        <v>4</v>
      </c>
      <c t="s" s="30" r="G2331">
        <v>282</v>
      </c>
      <c t="str" s="12" r="H2331">
        <f>HYPERLINK("http://sofifa.com/en/fifa13winter/player/149744-daniel-johnson","D. Johnson")</f>
        <v>D. Johnson</v>
      </c>
      <c s="30" r="I2331">
        <v>63</v>
      </c>
      <c t="s" s="30" r="J2331">
        <v>124</v>
      </c>
      <c t="s" s="30" r="K2331">
        <v>182</v>
      </c>
      <c t="s" s="30" r="L2331">
        <v>163</v>
      </c>
      <c s="30" r="M2331">
        <v>19</v>
      </c>
      <c s="26" r="N2331">
        <v>0.9</v>
      </c>
      <c s="23" r="O2331">
        <v>0.003</v>
      </c>
      <c s="7" r="P2331"/>
      <c s="7" r="Q2331"/>
      <c s="7" r="R2331">
        <f>IF((P2331&gt;0),O2331,0)</f>
        <v>0</v>
      </c>
      <c t="str" r="S2331">
        <f>CONCATENATE(F2331,E2331)</f>
        <v>NON FTLNON FTL</v>
      </c>
    </row>
    <row r="2332">
      <c t="s" s="7" r="A2332">
        <v>201</v>
      </c>
      <c s="7" r="B2332">
        <v>2359</v>
      </c>
      <c s="30" r="C2332">
        <v>23</v>
      </c>
      <c t="s" s="30" r="D2332">
        <v>147</v>
      </c>
      <c t="s" s="30" r="E2332">
        <v>4</v>
      </c>
      <c t="s" s="30" r="F2332">
        <v>4</v>
      </c>
      <c t="s" s="30" r="G2332">
        <v>282</v>
      </c>
      <c t="str" s="12" r="H2332">
        <f>HYPERLINK("http://sofifa.com/en/fifa13winter/player/149130-nathan-delfouneso","N. Delfouneso")</f>
        <v>N. Delfouneso</v>
      </c>
      <c s="30" r="I2332">
        <v>68</v>
      </c>
      <c t="s" s="30" r="J2332">
        <v>129</v>
      </c>
      <c t="s" s="30" r="K2332">
        <v>173</v>
      </c>
      <c t="s" s="30" r="L2332">
        <v>161</v>
      </c>
      <c s="30" r="M2332">
        <v>21</v>
      </c>
      <c s="26" r="N2332">
        <v>2.2</v>
      </c>
      <c s="23" r="O2332">
        <v>0.005</v>
      </c>
      <c s="7" r="P2332"/>
      <c s="7" r="Q2332"/>
      <c s="7" r="R2332">
        <f>IF((P2332&gt;0),O2332,0)</f>
        <v>0</v>
      </c>
      <c t="str" r="S2332">
        <f>CONCATENATE(F2332,E2332)</f>
        <v>NON FTLNON FTL</v>
      </c>
    </row>
    <row r="2333">
      <c t="s" s="7" r="A2333">
        <v>201</v>
      </c>
      <c s="7" r="B2333">
        <v>2360</v>
      </c>
      <c s="30" r="C2333">
        <v>31</v>
      </c>
      <c t="s" s="30" r="D2333">
        <v>147</v>
      </c>
      <c t="s" s="30" r="E2333">
        <v>4</v>
      </c>
      <c t="s" s="30" r="F2333">
        <v>4</v>
      </c>
      <c t="s" s="30" r="G2333">
        <v>282</v>
      </c>
      <c t="str" s="12" r="H2333">
        <f>HYPERLINK("http://sofifa.com/en/fifa13winter/player/148461-chris-herd","C. Herd")</f>
        <v>C. Herd</v>
      </c>
      <c s="30" r="I2333">
        <v>66</v>
      </c>
      <c t="s" s="30" r="J2333">
        <v>154</v>
      </c>
      <c t="s" s="30" r="K2333">
        <v>130</v>
      </c>
      <c t="s" s="30" r="L2333">
        <v>137</v>
      </c>
      <c s="30" r="M2333">
        <v>23</v>
      </c>
      <c s="26" r="N2333">
        <v>1.1</v>
      </c>
      <c s="23" r="O2333">
        <v>0.005</v>
      </c>
      <c s="7" r="P2333"/>
      <c s="7" r="Q2333"/>
      <c s="7" r="R2333">
        <f>IF((P2333&gt;0),O2333,0)</f>
        <v>0</v>
      </c>
      <c t="str" r="S2333">
        <f>CONCATENATE(F2333,E2333)</f>
        <v>NON FTLNON FTL</v>
      </c>
    </row>
    <row r="2334">
      <c t="s" s="7" r="A2334">
        <v>201</v>
      </c>
      <c s="7" r="B2334">
        <v>2361</v>
      </c>
      <c s="30" r="C2334">
        <v>36</v>
      </c>
      <c t="s" s="30" r="D2334">
        <v>147</v>
      </c>
      <c t="s" s="30" r="E2334">
        <v>4</v>
      </c>
      <c t="s" s="30" r="F2334">
        <v>4</v>
      </c>
      <c t="s" s="30" r="G2334">
        <v>282</v>
      </c>
      <c t="str" s="12" r="H2334">
        <f>HYPERLINK("http://sofifa.com/en/fifa13winter/player/150092-graham-burke","G. Burke")</f>
        <v>G. Burke</v>
      </c>
      <c s="30" r="I2334">
        <v>67</v>
      </c>
      <c t="s" s="30" r="J2334">
        <v>171</v>
      </c>
      <c t="s" s="30" r="K2334">
        <v>114</v>
      </c>
      <c t="s" s="30" r="L2334">
        <v>151</v>
      </c>
      <c s="30" r="M2334">
        <v>18</v>
      </c>
      <c s="26" r="N2334">
        <v>2</v>
      </c>
      <c s="23" r="O2334">
        <v>0.004</v>
      </c>
      <c s="7" r="P2334"/>
      <c s="7" r="Q2334"/>
      <c s="7" r="R2334">
        <f>IF((P2334&gt;0),O2334,0)</f>
        <v>0</v>
      </c>
      <c t="str" r="S2334">
        <f>CONCATENATE(F2334,E2334)</f>
        <v>NON FTLNON FTL</v>
      </c>
    </row>
    <row r="2335">
      <c t="s" s="7" r="A2335">
        <v>201</v>
      </c>
      <c s="7" r="B2335">
        <v>2362</v>
      </c>
      <c s="30" r="C2335">
        <v>44</v>
      </c>
      <c t="s" s="30" r="D2335">
        <v>147</v>
      </c>
      <c t="s" s="30" r="E2335">
        <v>4</v>
      </c>
      <c t="s" s="30" r="F2335">
        <v>4</v>
      </c>
      <c t="s" s="30" r="G2335">
        <v>282</v>
      </c>
      <c t="str" s="12" r="H2335">
        <f>HYPERLINK("http://sofifa.com/en/fifa13winter/player/150995-daniel-obrien","D. O'Brien")</f>
        <v>D. O'Brien</v>
      </c>
      <c s="30" r="I2335">
        <v>55</v>
      </c>
      <c t="s" s="30" r="J2335">
        <v>120</v>
      </c>
      <c t="s" s="30" r="K2335">
        <v>114</v>
      </c>
      <c t="s" s="30" r="L2335">
        <v>151</v>
      </c>
      <c s="30" r="M2335">
        <v>16</v>
      </c>
      <c s="26" r="N2335">
        <v>0.1</v>
      </c>
      <c s="23" r="O2335">
        <v>0.001</v>
      </c>
      <c s="7" r="P2335"/>
      <c s="7" r="Q2335"/>
      <c s="7" r="R2335">
        <f>IF((P2335&gt;0),O2335,0)</f>
        <v>0</v>
      </c>
      <c t="str" r="S2335">
        <f>CONCATENATE(F2335,E2335)</f>
        <v>NON FTLNON FTL</v>
      </c>
    </row>
    <row r="2336">
      <c t="s" s="7" r="A2336">
        <v>201</v>
      </c>
      <c s="7" r="B2336">
        <v>2363</v>
      </c>
      <c s="30" r="C2336">
        <v>16</v>
      </c>
      <c t="s" s="30" r="D2336">
        <v>106</v>
      </c>
      <c t="s" s="30" r="E2336">
        <v>4</v>
      </c>
      <c t="s" s="30" r="F2336">
        <v>4</v>
      </c>
      <c t="s" s="30" r="G2336">
        <v>283</v>
      </c>
      <c t="str" s="12" r="H2336">
        <f>HYPERLINK("http://sofifa.com/en/fifa13winter/player/147306-geoffrey-jourdren","G. Jourdren")</f>
        <v>G. Jourdren</v>
      </c>
      <c s="30" r="I2336">
        <v>76</v>
      </c>
      <c t="s" s="30" r="J2336">
        <v>106</v>
      </c>
      <c t="s" s="30" r="K2336">
        <v>150</v>
      </c>
      <c t="s" s="30" r="L2336">
        <v>193</v>
      </c>
      <c s="30" r="M2336">
        <v>26</v>
      </c>
      <c s="26" r="N2336">
        <v>4</v>
      </c>
      <c s="23" r="O2336">
        <v>0.015</v>
      </c>
      <c s="7" r="P2336"/>
      <c s="7" r="Q2336"/>
      <c s="7" r="R2336">
        <f>IF((P2336&gt;0),O2336,0)</f>
        <v>0</v>
      </c>
      <c t="str" r="S2336">
        <f>CONCATENATE(F2336,E2336)</f>
        <v>NON FTLNON FTL</v>
      </c>
    </row>
    <row r="2337">
      <c t="s" s="7" r="A2337">
        <v>201</v>
      </c>
      <c s="7" r="B2337">
        <v>2364</v>
      </c>
      <c s="30" r="C2337">
        <v>12</v>
      </c>
      <c t="s" s="30" r="D2337">
        <v>109</v>
      </c>
      <c t="s" s="30" r="E2337">
        <v>4</v>
      </c>
      <c t="s" s="30" r="F2337">
        <v>4</v>
      </c>
      <c t="s" s="30" r="G2337">
        <v>283</v>
      </c>
      <c t="str" s="12" r="H2337">
        <f>HYPERLINK("http://sofifa.com/en/fifa13winter/player/147001-daniel-congre","D. Congré")</f>
        <v>D. Congré</v>
      </c>
      <c s="30" r="I2337">
        <v>70</v>
      </c>
      <c t="s" s="30" r="J2337">
        <v>109</v>
      </c>
      <c t="s" s="30" r="K2337">
        <v>173</v>
      </c>
      <c t="s" s="30" r="L2337">
        <v>158</v>
      </c>
      <c s="30" r="M2337">
        <v>27</v>
      </c>
      <c s="26" r="N2337">
        <v>1.7</v>
      </c>
      <c s="23" r="O2337">
        <v>0.007</v>
      </c>
      <c s="7" r="P2337"/>
      <c s="7" r="Q2337"/>
      <c s="7" r="R2337">
        <f>IF((P2337&gt;0),O2337,0)</f>
        <v>0</v>
      </c>
      <c t="str" r="S2337">
        <f>CONCATENATE(F2337,E2337)</f>
        <v>NON FTLNON FTL</v>
      </c>
    </row>
    <row r="2338">
      <c t="s" s="7" r="A2338">
        <v>201</v>
      </c>
      <c s="7" r="B2338">
        <v>2365</v>
      </c>
      <c s="30" r="C2338">
        <v>4</v>
      </c>
      <c t="s" s="30" r="D2338">
        <v>112</v>
      </c>
      <c t="s" s="30" r="E2338">
        <v>4</v>
      </c>
      <c t="s" s="30" r="F2338">
        <v>4</v>
      </c>
      <c t="s" s="30" r="G2338">
        <v>283</v>
      </c>
      <c t="str" s="12" r="H2338">
        <f>HYPERLINK("http://sofifa.com/en/fifa13winter/player/144240-vitorino-hilton-da-silva","Hilton")</f>
        <v>Hilton</v>
      </c>
      <c s="30" r="I2338">
        <v>77</v>
      </c>
      <c t="s" s="30" r="J2338">
        <v>113</v>
      </c>
      <c t="s" s="30" r="K2338">
        <v>114</v>
      </c>
      <c t="s" s="30" r="L2338">
        <v>138</v>
      </c>
      <c s="30" r="M2338">
        <v>34</v>
      </c>
      <c s="26" r="N2338">
        <v>3.6</v>
      </c>
      <c s="23" r="O2338">
        <v>0.021</v>
      </c>
      <c s="7" r="P2338"/>
      <c s="7" r="Q2338"/>
      <c s="7" r="R2338">
        <f>IF((P2338&gt;0),O2338,0)</f>
        <v>0</v>
      </c>
      <c t="str" r="S2338">
        <f>CONCATENATE(F2338,E2338)</f>
        <v>NON FTLNON FTL</v>
      </c>
    </row>
    <row r="2339">
      <c t="s" s="7" r="A2339">
        <v>201</v>
      </c>
      <c s="7" r="B2339">
        <v>2366</v>
      </c>
      <c s="30" r="C2339">
        <v>21</v>
      </c>
      <c t="s" s="30" r="D2339">
        <v>116</v>
      </c>
      <c t="s" s="30" r="E2339">
        <v>4</v>
      </c>
      <c t="s" s="30" r="F2339">
        <v>4</v>
      </c>
      <c t="s" s="30" r="G2339">
        <v>283</v>
      </c>
      <c t="str" s="12" r="H2339">
        <f>HYPERLINK("http://sofifa.com/en/fifa13winter/player/148808-abdelhamid-el-kaoutari","A. El Kaoutari")</f>
        <v>A. El Kaoutari</v>
      </c>
      <c s="30" r="I2339">
        <v>72</v>
      </c>
      <c t="s" s="30" r="J2339">
        <v>113</v>
      </c>
      <c t="s" s="30" r="K2339">
        <v>114</v>
      </c>
      <c t="s" s="30" r="L2339">
        <v>183</v>
      </c>
      <c s="30" r="M2339">
        <v>22</v>
      </c>
      <c s="26" r="N2339">
        <v>2.8</v>
      </c>
      <c s="23" r="O2339">
        <v>0.008</v>
      </c>
      <c s="7" r="P2339"/>
      <c s="7" r="Q2339"/>
      <c s="7" r="R2339">
        <f>IF((P2339&gt;0),O2339,0)</f>
        <v>0</v>
      </c>
      <c t="str" r="S2339">
        <f>CONCATENATE(F2339,E2339)</f>
        <v>NON FTLNON FTL</v>
      </c>
    </row>
    <row r="2340">
      <c t="s" s="7" r="A2340">
        <v>201</v>
      </c>
      <c s="7" r="B2340">
        <v>2367</v>
      </c>
      <c s="30" r="C2340">
        <v>5</v>
      </c>
      <c t="s" s="30" r="D2340">
        <v>117</v>
      </c>
      <c t="s" s="30" r="E2340">
        <v>4</v>
      </c>
      <c t="s" s="30" r="F2340">
        <v>4</v>
      </c>
      <c t="s" s="30" r="G2340">
        <v>283</v>
      </c>
      <c t="str" s="12" r="H2340">
        <f>HYPERLINK("http://sofifa.com/en/fifa13winter/player/146696-henri-bedimo","H. Bedimo")</f>
        <v>H. Bedimo</v>
      </c>
      <c s="30" r="I2340">
        <v>75</v>
      </c>
      <c t="s" s="30" r="J2340">
        <v>117</v>
      </c>
      <c t="s" s="30" r="K2340">
        <v>114</v>
      </c>
      <c t="s" s="30" r="L2340">
        <v>153</v>
      </c>
      <c s="30" r="M2340">
        <v>28</v>
      </c>
      <c s="26" r="N2340">
        <v>3.7</v>
      </c>
      <c s="23" r="O2340">
        <v>0.013</v>
      </c>
      <c s="7" r="P2340"/>
      <c s="7" r="Q2340"/>
      <c s="7" r="R2340">
        <f>IF((P2340&gt;0),O2340,0)</f>
        <v>0</v>
      </c>
      <c t="str" r="S2340">
        <f>CONCATENATE(F2340,E2340)</f>
        <v>NON FTLNON FTL</v>
      </c>
    </row>
    <row r="2341">
      <c t="s" s="7" r="A2341">
        <v>201</v>
      </c>
      <c s="7" r="B2341">
        <v>2368</v>
      </c>
      <c s="30" r="C2341">
        <v>22</v>
      </c>
      <c t="s" s="30" r="D2341">
        <v>186</v>
      </c>
      <c t="s" s="30" r="E2341">
        <v>4</v>
      </c>
      <c t="s" s="30" r="F2341">
        <v>4</v>
      </c>
      <c t="s" s="30" r="G2341">
        <v>283</v>
      </c>
      <c t="str" s="12" r="H2341">
        <f>HYPERLINK("http://sofifa.com/en/fifa13winter/player/148957-benjamin-stambouli","B. Stambouli")</f>
        <v>B. Stambouli</v>
      </c>
      <c s="30" r="I2341">
        <v>72</v>
      </c>
      <c t="s" s="30" r="J2341">
        <v>154</v>
      </c>
      <c t="s" s="30" r="K2341">
        <v>114</v>
      </c>
      <c t="s" s="30" r="L2341">
        <v>151</v>
      </c>
      <c s="30" r="M2341">
        <v>22</v>
      </c>
      <c s="26" r="N2341">
        <v>2.6</v>
      </c>
      <c s="23" r="O2341">
        <v>0.008</v>
      </c>
      <c s="7" r="P2341"/>
      <c s="7" r="Q2341"/>
      <c s="7" r="R2341">
        <f>IF((P2341&gt;0),O2341,0)</f>
        <v>0</v>
      </c>
      <c t="str" r="S2341">
        <f>CONCATENATE(F2341,E2341)</f>
        <v>NON FTLNON FTL</v>
      </c>
    </row>
    <row r="2342">
      <c t="s" s="7" r="A2342">
        <v>201</v>
      </c>
      <c s="7" r="B2342">
        <v>2369</v>
      </c>
      <c s="30" r="C2342">
        <v>13</v>
      </c>
      <c t="s" s="30" r="D2342">
        <v>174</v>
      </c>
      <c t="s" s="30" r="E2342">
        <v>4</v>
      </c>
      <c t="s" s="30" r="F2342">
        <v>4</v>
      </c>
      <c t="s" s="30" r="G2342">
        <v>283</v>
      </c>
      <c t="str" s="12" r="H2342">
        <f>HYPERLINK("http://sofifa.com/en/fifa13winter/player/146323-marco-estrada","M. Estrada")</f>
        <v>M. Estrada</v>
      </c>
      <c s="30" r="I2342">
        <v>75</v>
      </c>
      <c t="s" s="30" r="J2342">
        <v>154</v>
      </c>
      <c t="s" s="30" r="K2342">
        <v>118</v>
      </c>
      <c t="s" s="30" r="L2342">
        <v>119</v>
      </c>
      <c s="30" r="M2342">
        <v>29</v>
      </c>
      <c s="26" r="N2342">
        <v>3.5</v>
      </c>
      <c s="23" r="O2342">
        <v>0.014</v>
      </c>
      <c s="7" r="P2342"/>
      <c s="7" r="Q2342"/>
      <c s="7" r="R2342">
        <f>IF((P2342&gt;0),O2342,0)</f>
        <v>0</v>
      </c>
      <c t="str" r="S2342">
        <f>CONCATENATE(F2342,E2342)</f>
        <v>NON FTLNON FTL</v>
      </c>
    </row>
    <row r="2343">
      <c t="s" s="7" r="A2343">
        <v>201</v>
      </c>
      <c s="7" r="B2343">
        <v>2370</v>
      </c>
      <c s="30" r="C2343">
        <v>20</v>
      </c>
      <c t="s" s="30" r="D2343">
        <v>234</v>
      </c>
      <c t="s" s="30" r="E2343">
        <v>4</v>
      </c>
      <c t="s" s="30" r="F2343">
        <v>4</v>
      </c>
      <c t="s" s="30" r="G2343">
        <v>283</v>
      </c>
      <c t="str" s="12" r="H2343">
        <f>HYPERLINK("http://sofifa.com/en/fifa13winter/player/148799-remy-cabella","R. Cabella")</f>
        <v>R. Cabella</v>
      </c>
      <c s="30" r="I2343">
        <v>76</v>
      </c>
      <c t="s" s="30" r="J2343">
        <v>162</v>
      </c>
      <c t="s" s="30" r="K2343">
        <v>195</v>
      </c>
      <c t="s" s="30" r="L2343">
        <v>164</v>
      </c>
      <c s="30" r="M2343">
        <v>22</v>
      </c>
      <c s="26" r="N2343">
        <v>6</v>
      </c>
      <c s="23" r="O2343">
        <v>0.014</v>
      </c>
      <c s="7" r="P2343"/>
      <c s="7" r="Q2343"/>
      <c s="7" r="R2343">
        <f>IF((P2343&gt;0),O2343,0)</f>
        <v>0</v>
      </c>
      <c t="str" r="S2343">
        <f>CONCATENATE(F2343,E2343)</f>
        <v>NON FTLNON FTL</v>
      </c>
    </row>
    <row r="2344">
      <c t="s" s="7" r="A2344">
        <v>201</v>
      </c>
      <c s="7" r="B2344">
        <v>2371</v>
      </c>
      <c s="30" r="C2344">
        <v>10</v>
      </c>
      <c t="s" s="30" r="D2344">
        <v>162</v>
      </c>
      <c t="s" s="30" r="E2344">
        <v>4</v>
      </c>
      <c t="s" s="30" r="F2344">
        <v>4</v>
      </c>
      <c t="s" s="30" r="G2344">
        <v>283</v>
      </c>
      <c t="str" s="12" r="H2344">
        <f>HYPERLINK("http://sofifa.com/en/fifa13winter/player/148788-younes-belhanda","Y. Belhanda")</f>
        <v>Y. Belhanda</v>
      </c>
      <c s="30" r="I2344">
        <v>79</v>
      </c>
      <c t="s" s="30" r="J2344">
        <v>162</v>
      </c>
      <c t="s" s="30" r="K2344">
        <v>182</v>
      </c>
      <c t="s" s="30" r="L2344">
        <v>151</v>
      </c>
      <c s="30" r="M2344">
        <v>22</v>
      </c>
      <c s="26" r="N2344">
        <v>8.9</v>
      </c>
      <c s="23" r="O2344">
        <v>0.02</v>
      </c>
      <c s="7" r="P2344"/>
      <c s="7" r="Q2344"/>
      <c s="7" r="R2344">
        <f>IF((P2344&gt;0),O2344,0)</f>
        <v>0</v>
      </c>
      <c t="str" r="S2344">
        <f>CONCATENATE(F2344,E2344)</f>
        <v>NON FTLNON FTL</v>
      </c>
    </row>
    <row r="2345">
      <c t="s" s="7" r="A2345">
        <v>201</v>
      </c>
      <c s="7" r="B2345">
        <v>2372</v>
      </c>
      <c s="30" r="C2345">
        <v>7</v>
      </c>
      <c t="s" s="30" r="D2345">
        <v>235</v>
      </c>
      <c t="s" s="30" r="E2345">
        <v>4</v>
      </c>
      <c t="s" s="30" r="F2345">
        <v>4</v>
      </c>
      <c t="s" s="30" r="G2345">
        <v>283</v>
      </c>
      <c t="str" s="12" r="H2345">
        <f>HYPERLINK("http://sofifa.com/en/fifa13winter/player/145818-john-utaka","J. Utaka")</f>
        <v>J. Utaka</v>
      </c>
      <c s="30" r="I2345">
        <v>75</v>
      </c>
      <c t="s" s="30" r="J2345">
        <v>170</v>
      </c>
      <c t="s" s="30" r="K2345">
        <v>145</v>
      </c>
      <c t="s" s="30" r="L2345">
        <v>193</v>
      </c>
      <c s="30" r="M2345">
        <v>30</v>
      </c>
      <c s="26" r="N2345">
        <v>3.8</v>
      </c>
      <c s="23" r="O2345">
        <v>0.014</v>
      </c>
      <c s="7" r="P2345"/>
      <c s="7" r="Q2345"/>
      <c s="7" r="R2345">
        <f>IF((P2345&gt;0),O2345,0)</f>
        <v>0</v>
      </c>
      <c t="str" r="S2345">
        <f>CONCATENATE(F2345,E2345)</f>
        <v>NON FTLNON FTL</v>
      </c>
    </row>
    <row r="2346">
      <c t="s" s="7" r="A2346">
        <v>201</v>
      </c>
      <c s="7" r="B2346">
        <v>2373</v>
      </c>
      <c s="30" r="C2346">
        <v>11</v>
      </c>
      <c t="s" s="30" r="D2346">
        <v>129</v>
      </c>
      <c t="s" s="30" r="E2346">
        <v>4</v>
      </c>
      <c t="s" s="30" r="F2346">
        <v>4</v>
      </c>
      <c t="s" s="30" r="G2346">
        <v>283</v>
      </c>
      <c t="str" s="12" r="H2346">
        <f>HYPERLINK("http://sofifa.com/en/fifa13winter/player/147739-emanuel-herrera","E. Herrera")</f>
        <v>E. Herrera</v>
      </c>
      <c s="30" r="I2346">
        <v>70</v>
      </c>
      <c t="s" s="30" r="J2346">
        <v>129</v>
      </c>
      <c t="s" s="30" r="K2346">
        <v>173</v>
      </c>
      <c t="s" s="30" r="L2346">
        <v>156</v>
      </c>
      <c s="30" r="M2346">
        <v>25</v>
      </c>
      <c s="26" r="N2346">
        <v>2.2</v>
      </c>
      <c s="23" r="O2346">
        <v>0.007</v>
      </c>
      <c s="7" r="P2346"/>
      <c s="7" r="Q2346"/>
      <c s="7" r="R2346">
        <f>IF((P2346&gt;0),O2346,0)</f>
        <v>0</v>
      </c>
      <c t="str" r="S2346">
        <f>CONCATENATE(F2346,E2346)</f>
        <v>NON FTLNON FTL</v>
      </c>
    </row>
    <row r="2347">
      <c t="s" s="7" r="A2347">
        <v>201</v>
      </c>
      <c s="7" r="B2347">
        <v>2374</v>
      </c>
      <c s="30" r="C2347">
        <v>25</v>
      </c>
      <c t="s" s="30" r="D2347">
        <v>136</v>
      </c>
      <c t="s" s="30" r="E2347">
        <v>4</v>
      </c>
      <c t="s" s="30" r="F2347">
        <v>4</v>
      </c>
      <c t="s" s="30" r="G2347">
        <v>283</v>
      </c>
      <c t="str" s="12" r="H2347">
        <f>HYPERLINK("http://sofifa.com/en/fifa13winter/player/149371-mathieu-deplagne","M. Deplagne")</f>
        <v>M. Deplagne</v>
      </c>
      <c s="30" r="I2347">
        <v>65</v>
      </c>
      <c t="s" s="30" r="J2347">
        <v>109</v>
      </c>
      <c t="s" s="30" r="K2347">
        <v>114</v>
      </c>
      <c t="s" s="30" r="L2347">
        <v>125</v>
      </c>
      <c s="30" r="M2347">
        <v>20</v>
      </c>
      <c s="26" r="N2347">
        <v>1</v>
      </c>
      <c s="23" r="O2347">
        <v>0.004</v>
      </c>
      <c s="7" r="P2347"/>
      <c s="7" r="Q2347"/>
      <c s="7" r="R2347">
        <f>IF((P2347&gt;0),O2347,0)</f>
        <v>0</v>
      </c>
      <c t="str" r="S2347">
        <f>CONCATENATE(F2347,E2347)</f>
        <v>NON FTLNON FTL</v>
      </c>
    </row>
    <row r="2348">
      <c t="s" s="7" r="A2348">
        <v>201</v>
      </c>
      <c s="7" r="B2348">
        <v>2375</v>
      </c>
      <c s="30" r="C2348">
        <v>15</v>
      </c>
      <c t="s" s="30" r="D2348">
        <v>136</v>
      </c>
      <c t="s" s="30" r="E2348">
        <v>4</v>
      </c>
      <c t="s" s="30" r="F2348">
        <v>4</v>
      </c>
      <c t="s" s="30" r="G2348">
        <v>283</v>
      </c>
      <c t="str" s="12" r="H2348">
        <f>HYPERLINK("http://sofifa.com/en/fifa13winter/player/150423-morgan-sanson","M. Sanson")</f>
        <v>M. Sanson</v>
      </c>
      <c s="30" r="I2348">
        <v>63</v>
      </c>
      <c t="s" s="30" r="J2348">
        <v>157</v>
      </c>
      <c t="s" s="30" r="K2348">
        <v>143</v>
      </c>
      <c t="s" s="30" r="L2348">
        <v>122</v>
      </c>
      <c s="30" r="M2348">
        <v>18</v>
      </c>
      <c s="26" r="N2348">
        <v>1</v>
      </c>
      <c s="23" r="O2348">
        <v>0.003</v>
      </c>
      <c s="7" r="P2348"/>
      <c s="7" r="Q2348"/>
      <c s="7" r="R2348">
        <f>IF((P2348&gt;0),O2348,0)</f>
        <v>0</v>
      </c>
      <c t="str" r="S2348">
        <f>CONCATENATE(F2348,E2348)</f>
        <v>NON FTLNON FTL</v>
      </c>
    </row>
    <row r="2349">
      <c t="s" s="7" r="A2349">
        <v>201</v>
      </c>
      <c s="7" r="B2349">
        <v>2376</v>
      </c>
      <c s="30" r="C2349">
        <v>9</v>
      </c>
      <c t="s" s="30" r="D2349">
        <v>136</v>
      </c>
      <c t="s" s="30" r="E2349">
        <v>4</v>
      </c>
      <c t="s" s="30" r="F2349">
        <v>4</v>
      </c>
      <c t="s" s="30" r="G2349">
        <v>283</v>
      </c>
      <c t="str" s="12" r="H2349">
        <f>HYPERLINK("http://sofifa.com/en/fifa13winter/player/148363-gaetan-charbonnier","G. Charbonnier")</f>
        <v>G. Charbonnier</v>
      </c>
      <c s="30" r="I2349">
        <v>71</v>
      </c>
      <c t="s" s="30" r="J2349">
        <v>129</v>
      </c>
      <c t="s" s="30" r="K2349">
        <v>134</v>
      </c>
      <c t="s" s="30" r="L2349">
        <v>153</v>
      </c>
      <c s="30" r="M2349">
        <v>23</v>
      </c>
      <c s="26" r="N2349">
        <v>2.8</v>
      </c>
      <c s="23" r="O2349">
        <v>0.007</v>
      </c>
      <c s="7" r="P2349"/>
      <c s="7" r="Q2349"/>
      <c s="7" r="R2349">
        <f>IF((P2349&gt;0),O2349,0)</f>
        <v>0</v>
      </c>
      <c t="str" r="S2349">
        <f>CONCATENATE(F2349,E2349)</f>
        <v>NON FTLNON FTL</v>
      </c>
    </row>
    <row r="2350">
      <c t="s" s="7" r="A2350">
        <v>201</v>
      </c>
      <c s="7" r="B2350">
        <v>2377</v>
      </c>
      <c s="30" r="C2350">
        <v>8</v>
      </c>
      <c t="s" s="30" r="D2350">
        <v>136</v>
      </c>
      <c t="s" s="30" r="E2350">
        <v>4</v>
      </c>
      <c t="s" s="30" r="F2350">
        <v>4</v>
      </c>
      <c t="s" s="30" r="G2350">
        <v>283</v>
      </c>
      <c t="str" s="12" r="H2350">
        <f>HYPERLINK("http://sofifa.com/en/fifa13winter/player/147906-anthony-mounier","A. Mounier")</f>
        <v>A. Mounier</v>
      </c>
      <c s="30" r="I2350">
        <v>77</v>
      </c>
      <c t="s" s="30" r="J2350">
        <v>170</v>
      </c>
      <c t="s" s="30" r="K2350">
        <v>182</v>
      </c>
      <c t="s" s="30" r="L2350">
        <v>149</v>
      </c>
      <c s="30" r="M2350">
        <v>24</v>
      </c>
      <c s="26" r="N2350">
        <v>6.7</v>
      </c>
      <c s="23" r="O2350">
        <v>0.017</v>
      </c>
      <c s="7" r="P2350"/>
      <c s="7" r="Q2350"/>
      <c s="7" r="R2350">
        <f>IF((P2350&gt;0),O2350,0)</f>
        <v>0</v>
      </c>
      <c t="str" r="S2350">
        <f>CONCATENATE(F2350,E2350)</f>
        <v>NON FTLNON FTL</v>
      </c>
    </row>
    <row r="2351">
      <c t="s" s="7" r="A2351">
        <v>201</v>
      </c>
      <c s="7" r="B2351">
        <v>2378</v>
      </c>
      <c s="30" r="C2351">
        <v>23</v>
      </c>
      <c t="s" s="30" r="D2351">
        <v>136</v>
      </c>
      <c t="s" s="30" r="E2351">
        <v>4</v>
      </c>
      <c t="s" s="30" r="F2351">
        <v>4</v>
      </c>
      <c t="s" s="30" r="G2351">
        <v>283</v>
      </c>
      <c t="str" s="12" r="H2351">
        <f>HYPERLINK("http://sofifa.com/en/fifa13winter/player/147663-jamel-saihi","J. Saihi")</f>
        <v>J. Saihi</v>
      </c>
      <c s="30" r="I2351">
        <v>76</v>
      </c>
      <c t="s" s="30" r="J2351">
        <v>154</v>
      </c>
      <c t="s" s="30" r="K2351">
        <v>150</v>
      </c>
      <c t="s" s="30" r="L2351">
        <v>119</v>
      </c>
      <c s="30" r="M2351">
        <v>25</v>
      </c>
      <c s="26" r="N2351">
        <v>4.6</v>
      </c>
      <c s="23" r="O2351">
        <v>0.015</v>
      </c>
      <c s="7" r="P2351"/>
      <c s="7" r="Q2351"/>
      <c s="7" r="R2351">
        <f>IF((P2351&gt;0),O2351,0)</f>
        <v>0</v>
      </c>
      <c t="str" r="S2351">
        <f>CONCATENATE(F2351,E2351)</f>
        <v>NON FTLNON FTL</v>
      </c>
    </row>
    <row r="2352">
      <c t="s" s="7" r="A2352">
        <v>201</v>
      </c>
      <c s="7" r="B2352">
        <v>2379</v>
      </c>
      <c s="30" r="C2352">
        <v>19</v>
      </c>
      <c t="s" s="30" r="D2352">
        <v>136</v>
      </c>
      <c t="s" s="30" r="E2352">
        <v>4</v>
      </c>
      <c t="s" s="30" r="F2352">
        <v>4</v>
      </c>
      <c t="s" s="30" r="G2352">
        <v>283</v>
      </c>
      <c t="str" s="12" r="H2352">
        <f>HYPERLINK("http://sofifa.com/en/fifa13winter/player/146166-souleymane-camara","S. Camara")</f>
        <v>S. Camara</v>
      </c>
      <c s="30" r="I2352">
        <v>74</v>
      </c>
      <c t="s" s="30" r="J2352">
        <v>157</v>
      </c>
      <c t="s" s="30" r="K2352">
        <v>182</v>
      </c>
      <c t="s" s="30" r="L2352">
        <v>146</v>
      </c>
      <c s="30" r="M2352">
        <v>29</v>
      </c>
      <c s="26" r="N2352">
        <v>3.3</v>
      </c>
      <c s="23" r="O2352">
        <v>0.012</v>
      </c>
      <c s="7" r="P2352"/>
      <c s="7" r="Q2352"/>
      <c s="7" r="R2352">
        <f>IF((P2352&gt;0),O2352,0)</f>
        <v>0</v>
      </c>
      <c t="str" r="S2352">
        <f>CONCATENATE(F2352,E2352)</f>
        <v>NON FTLNON FTL</v>
      </c>
    </row>
    <row r="2353">
      <c t="s" s="7" r="A2353">
        <v>201</v>
      </c>
      <c s="7" r="B2353">
        <v>2380</v>
      </c>
      <c s="30" r="C2353">
        <v>17</v>
      </c>
      <c t="s" s="30" r="D2353">
        <v>136</v>
      </c>
      <c t="s" s="30" r="E2353">
        <v>4</v>
      </c>
      <c t="s" s="30" r="F2353">
        <v>4</v>
      </c>
      <c t="s" s="30" r="G2353">
        <v>283</v>
      </c>
      <c t="str" s="12" r="H2353">
        <f>HYPERLINK("http://sofifa.com/en/fifa13winter/player/148463-djamel-bakar","D. Bakar")</f>
        <v>D. Bakar</v>
      </c>
      <c s="30" r="I2353">
        <v>71</v>
      </c>
      <c t="s" s="30" r="J2353">
        <v>129</v>
      </c>
      <c t="s" s="30" r="K2353">
        <v>195</v>
      </c>
      <c t="s" s="30" r="L2353">
        <v>111</v>
      </c>
      <c s="30" r="M2353">
        <v>23</v>
      </c>
      <c s="26" r="N2353">
        <v>2.8</v>
      </c>
      <c s="23" r="O2353">
        <v>0.007</v>
      </c>
      <c s="7" r="P2353"/>
      <c s="7" r="Q2353"/>
      <c s="7" r="R2353">
        <f>IF((P2353&gt;0),O2353,0)</f>
        <v>0</v>
      </c>
      <c t="str" r="S2353">
        <f>CONCATENATE(F2353,E2353)</f>
        <v>NON FTLNON FTL</v>
      </c>
    </row>
    <row r="2354">
      <c t="s" s="7" r="A2354">
        <v>201</v>
      </c>
      <c s="7" r="B2354">
        <v>2381</v>
      </c>
      <c s="30" r="C2354">
        <v>18</v>
      </c>
      <c t="s" s="30" r="D2354">
        <v>136</v>
      </c>
      <c t="s" s="30" r="E2354">
        <v>4</v>
      </c>
      <c t="s" s="30" r="F2354">
        <v>4</v>
      </c>
      <c t="s" s="30" r="G2354">
        <v>283</v>
      </c>
      <c t="str" s="12" r="H2354">
        <f>HYPERLINK("http://sofifa.com/en/fifa13winter/player/148423-karim-ait-fana","K. Aït-Fana")</f>
        <v>K. Aït-Fana</v>
      </c>
      <c s="30" r="I2354">
        <v>72</v>
      </c>
      <c t="s" s="30" r="J2354">
        <v>170</v>
      </c>
      <c t="s" s="30" r="K2354">
        <v>139</v>
      </c>
      <c t="s" s="30" r="L2354">
        <v>149</v>
      </c>
      <c s="30" r="M2354">
        <v>23</v>
      </c>
      <c s="26" r="N2354">
        <v>3</v>
      </c>
      <c s="23" r="O2354">
        <v>0.008</v>
      </c>
      <c s="7" r="P2354"/>
      <c s="7" r="Q2354"/>
      <c s="7" r="R2354">
        <f>IF((P2354&gt;0),O2354,0)</f>
        <v>0</v>
      </c>
      <c t="str" r="S2354">
        <f>CONCATENATE(F2354,E2354)</f>
        <v>NON FTLNON FTL</v>
      </c>
    </row>
    <row r="2355">
      <c t="s" s="7" r="A2355">
        <v>201</v>
      </c>
      <c s="7" r="B2355">
        <v>2382</v>
      </c>
      <c s="30" r="C2355">
        <v>2</v>
      </c>
      <c t="s" s="30" r="D2355">
        <v>136</v>
      </c>
      <c t="s" s="30" r="E2355">
        <v>4</v>
      </c>
      <c t="s" s="30" r="F2355">
        <v>4</v>
      </c>
      <c t="s" s="30" r="G2355">
        <v>283</v>
      </c>
      <c t="str" s="12" r="H2355">
        <f>HYPERLINK("http://sofifa.com/en/fifa13winter/player/148111-garry-bocaly","G. Bocaly")</f>
        <v>G. Bocaly</v>
      </c>
      <c s="30" r="I2355">
        <v>73</v>
      </c>
      <c t="s" s="30" r="J2355">
        <v>109</v>
      </c>
      <c t="s" s="30" r="K2355">
        <v>114</v>
      </c>
      <c t="s" s="30" r="L2355">
        <v>160</v>
      </c>
      <c s="30" r="M2355">
        <v>24</v>
      </c>
      <c s="26" r="N2355">
        <v>2.9</v>
      </c>
      <c s="23" r="O2355">
        <v>0.01</v>
      </c>
      <c s="7" r="P2355"/>
      <c s="7" r="Q2355"/>
      <c s="7" r="R2355">
        <f>IF((P2355&gt;0),O2355,0)</f>
        <v>0</v>
      </c>
      <c t="str" r="S2355">
        <f>CONCATENATE(F2355,E2355)</f>
        <v>NON FTLNON FTL</v>
      </c>
    </row>
    <row r="2356">
      <c t="s" s="7" r="A2356">
        <v>201</v>
      </c>
      <c s="7" r="B2356">
        <v>2383</v>
      </c>
      <c s="30" r="C2356">
        <v>14</v>
      </c>
      <c t="s" s="30" r="D2356">
        <v>136</v>
      </c>
      <c t="s" s="30" r="E2356">
        <v>4</v>
      </c>
      <c t="s" s="30" r="F2356">
        <v>4</v>
      </c>
      <c t="s" s="30" r="G2356">
        <v>283</v>
      </c>
      <c t="str" s="12" r="H2356">
        <f>HYPERLINK("http://sofifa.com/en/fifa13winter/player/144204-romain-pitau","R. Pitau")</f>
        <v>R. Pitau</v>
      </c>
      <c s="30" r="I2356">
        <v>73</v>
      </c>
      <c t="s" s="30" r="J2356">
        <v>154</v>
      </c>
      <c t="s" s="30" r="K2356">
        <v>118</v>
      </c>
      <c t="s" s="30" r="L2356">
        <v>142</v>
      </c>
      <c s="30" r="M2356">
        <v>35</v>
      </c>
      <c s="26" r="N2356">
        <v>1.7</v>
      </c>
      <c s="23" r="O2356">
        <v>0.012</v>
      </c>
      <c s="7" r="P2356"/>
      <c s="7" r="Q2356"/>
      <c s="7" r="R2356">
        <f>IF((P2356&gt;0),O2356,0)</f>
        <v>0</v>
      </c>
      <c t="str" r="S2356">
        <f>CONCATENATE(F2356,E2356)</f>
        <v>NON FTLNON FTL</v>
      </c>
    </row>
    <row r="2357">
      <c t="s" s="7" r="A2357">
        <v>201</v>
      </c>
      <c s="7" r="B2357">
        <v>2384</v>
      </c>
      <c s="30" r="C2357">
        <v>6</v>
      </c>
      <c t="s" s="30" r="D2357">
        <v>136</v>
      </c>
      <c t="s" s="30" r="E2357">
        <v>4</v>
      </c>
      <c t="s" s="30" r="F2357">
        <v>4</v>
      </c>
      <c t="s" s="30" r="G2357">
        <v>283</v>
      </c>
      <c t="str" s="12" r="H2357">
        <f>HYPERLINK("http://sofifa.com/en/fifa13winter/player/146037-joris-marveaux","J. Marveaux")</f>
        <v>J. Marveaux</v>
      </c>
      <c s="30" r="I2357">
        <v>72</v>
      </c>
      <c t="s" s="30" r="J2357">
        <v>154</v>
      </c>
      <c t="s" s="30" r="K2357">
        <v>118</v>
      </c>
      <c t="s" s="30" r="L2357">
        <v>160</v>
      </c>
      <c s="30" r="M2357">
        <v>30</v>
      </c>
      <c s="26" r="N2357">
        <v>2.1</v>
      </c>
      <c s="23" r="O2357">
        <v>0.01</v>
      </c>
      <c s="7" r="P2357"/>
      <c s="7" r="Q2357"/>
      <c s="7" r="R2357">
        <f>IF((P2357&gt;0),O2357,0)</f>
        <v>0</v>
      </c>
      <c t="str" r="S2357">
        <f>CONCATENATE(F2357,E2357)</f>
        <v>NON FTLNON FTL</v>
      </c>
    </row>
    <row r="2358">
      <c t="s" s="7" r="A2358">
        <v>201</v>
      </c>
      <c s="7" r="B2358">
        <v>2385</v>
      </c>
      <c s="30" r="C2358">
        <v>1</v>
      </c>
      <c t="s" s="30" r="D2358">
        <v>136</v>
      </c>
      <c t="s" s="30" r="E2358">
        <v>4</v>
      </c>
      <c t="s" s="30" r="F2358">
        <v>4</v>
      </c>
      <c t="s" s="30" r="G2358">
        <v>283</v>
      </c>
      <c t="str" s="12" r="H2358">
        <f>HYPERLINK("http://sofifa.com/en/fifa13winter/player/145954-laurent-pionnier","L. Pionnier")</f>
        <v>L. Pionnier</v>
      </c>
      <c s="30" r="I2358">
        <v>74</v>
      </c>
      <c t="s" s="30" r="J2358">
        <v>106</v>
      </c>
      <c t="s" s="30" r="K2358">
        <v>167</v>
      </c>
      <c t="s" s="30" r="L2358">
        <v>137</v>
      </c>
      <c s="30" r="M2358">
        <v>30</v>
      </c>
      <c s="26" r="N2358">
        <v>2.4</v>
      </c>
      <c s="23" r="O2358">
        <v>0.012</v>
      </c>
      <c s="7" r="P2358"/>
      <c s="7" r="Q2358"/>
      <c s="7" r="R2358">
        <f>IF((P2358&gt;0),O2358,0)</f>
        <v>0</v>
      </c>
      <c t="str" r="S2358">
        <f>CONCATENATE(F2358,E2358)</f>
        <v>NON FTLNON FTL</v>
      </c>
    </row>
    <row r="2359">
      <c t="s" s="7" r="A2359">
        <v>201</v>
      </c>
      <c s="7" r="B2359">
        <v>2386</v>
      </c>
      <c s="30" r="C2359">
        <v>35</v>
      </c>
      <c t="s" s="30" r="D2359">
        <v>147</v>
      </c>
      <c t="s" s="30" r="E2359">
        <v>4</v>
      </c>
      <c t="s" s="30" r="F2359">
        <v>4</v>
      </c>
      <c t="s" s="30" r="G2359">
        <v>283</v>
      </c>
      <c t="str" s="12" r="H2359">
        <f>HYPERLINK("http://sofifa.com/en/fifa13winter/player/149485-abdoul-karim-sylla","A. Sylla")</f>
        <v>A. Sylla</v>
      </c>
      <c s="30" r="I2359">
        <v>60</v>
      </c>
      <c t="s" s="30" r="J2359">
        <v>129</v>
      </c>
      <c t="s" s="30" r="K2359">
        <v>114</v>
      </c>
      <c t="s" s="30" r="L2359">
        <v>151</v>
      </c>
      <c s="30" r="M2359">
        <v>20</v>
      </c>
      <c s="26" r="N2359">
        <v>0.6</v>
      </c>
      <c s="23" r="O2359">
        <v>0.003</v>
      </c>
      <c s="7" r="P2359"/>
      <c s="7" r="Q2359"/>
      <c s="7" r="R2359">
        <f>IF((P2359&gt;0),O2359,0)</f>
        <v>0</v>
      </c>
      <c t="str" r="S2359">
        <f>CONCATENATE(F2359,E2359)</f>
        <v>NON FTLNON FTL</v>
      </c>
    </row>
    <row r="2360">
      <c t="s" s="7" r="A2360">
        <v>201</v>
      </c>
      <c s="7" r="B2360">
        <v>2387</v>
      </c>
      <c s="30" r="C2360">
        <v>33</v>
      </c>
      <c t="s" s="30" r="D2360">
        <v>147</v>
      </c>
      <c t="s" s="30" r="E2360">
        <v>4</v>
      </c>
      <c t="s" s="30" r="F2360">
        <v>4</v>
      </c>
      <c t="s" s="30" r="G2360">
        <v>283</v>
      </c>
      <c t="str" s="12" r="H2360">
        <f>HYPERLINK("http://sofifa.com/en/fifa13winter/player/149888-vincent-di-stefano","V. Di Stefano")</f>
        <v>V. Di Stefano</v>
      </c>
      <c s="30" r="I2360">
        <v>58</v>
      </c>
      <c t="s" s="30" r="J2360">
        <v>113</v>
      </c>
      <c t="s" s="30" r="K2360">
        <v>143</v>
      </c>
      <c t="s" s="30" r="L2360">
        <v>151</v>
      </c>
      <c s="30" r="M2360">
        <v>19</v>
      </c>
      <c s="26" r="N2360">
        <v>0.3</v>
      </c>
      <c s="23" r="O2360">
        <v>0.002</v>
      </c>
      <c s="7" r="P2360"/>
      <c s="7" r="Q2360"/>
      <c s="7" r="R2360">
        <f>IF((P2360&gt;0),O2360,0)</f>
        <v>0</v>
      </c>
      <c t="str" r="S2360">
        <f>CONCATENATE(F2360,E2360)</f>
        <v>NON FTLNON FTL</v>
      </c>
    </row>
    <row r="2361">
      <c t="s" s="7" r="A2361">
        <v>201</v>
      </c>
      <c s="7" r="B2361">
        <v>2388</v>
      </c>
      <c s="30" r="C2361">
        <v>30</v>
      </c>
      <c t="s" s="30" r="D2361">
        <v>147</v>
      </c>
      <c t="s" s="30" r="E2361">
        <v>4</v>
      </c>
      <c t="s" s="30" r="F2361">
        <v>4</v>
      </c>
      <c t="s" s="30" r="G2361">
        <v>283</v>
      </c>
      <c t="str" s="12" r="H2361">
        <f>HYPERLINK("http://sofifa.com/en/fifa13winter/player/149245-jonathan-ligali","J. Ligali")</f>
        <v>J. Ligali</v>
      </c>
      <c s="30" r="I2361">
        <v>65</v>
      </c>
      <c t="s" s="30" r="J2361">
        <v>106</v>
      </c>
      <c t="s" s="30" r="K2361">
        <v>110</v>
      </c>
      <c t="s" s="30" r="L2361">
        <v>193</v>
      </c>
      <c s="30" r="M2361">
        <v>21</v>
      </c>
      <c s="26" r="N2361">
        <v>0.9</v>
      </c>
      <c s="23" r="O2361">
        <v>0.004</v>
      </c>
      <c s="7" r="P2361"/>
      <c s="7" r="Q2361"/>
      <c s="7" r="R2361">
        <f>IF((P2361&gt;0),O2361,0)</f>
        <v>0</v>
      </c>
      <c t="str" r="S2361">
        <f>CONCATENATE(F2361,E2361)</f>
        <v>NON FTLNON FTL</v>
      </c>
    </row>
    <row r="2362">
      <c t="s" s="7" r="A2362">
        <v>201</v>
      </c>
      <c s="7" r="B2362">
        <v>2389</v>
      </c>
      <c s="30" r="C2362">
        <v>26</v>
      </c>
      <c t="s" s="30" r="D2362">
        <v>147</v>
      </c>
      <c t="s" s="30" r="E2362">
        <v>4</v>
      </c>
      <c t="s" s="30" r="F2362">
        <v>4</v>
      </c>
      <c t="s" s="30" r="G2362">
        <v>283</v>
      </c>
      <c t="str" s="12" r="H2362">
        <f>HYPERLINK("http://sofifa.com/en/fifa13winter/player/149511-bryan-dabo","B. Dabo")</f>
        <v>B. Dabo</v>
      </c>
      <c s="30" r="I2362">
        <v>63</v>
      </c>
      <c t="s" s="30" r="J2362">
        <v>154</v>
      </c>
      <c t="s" s="30" r="K2362">
        <v>132</v>
      </c>
      <c t="s" s="30" r="L2362">
        <v>151</v>
      </c>
      <c s="30" r="M2362">
        <v>20</v>
      </c>
      <c s="26" r="N2362">
        <v>0.8</v>
      </c>
      <c s="23" r="O2362">
        <v>0.003</v>
      </c>
      <c s="7" r="P2362"/>
      <c s="7" r="Q2362"/>
      <c s="7" r="R2362">
        <f>IF((P2362&gt;0),O2362,0)</f>
        <v>0</v>
      </c>
      <c t="str" r="S2362">
        <f>CONCATENATE(F2362,E2362)</f>
        <v>NON FTLNON FTL</v>
      </c>
    </row>
    <row r="2363">
      <c t="s" s="7" r="A2363">
        <v>201</v>
      </c>
      <c s="7" r="B2363">
        <v>2390</v>
      </c>
      <c s="30" r="C2363">
        <v>29</v>
      </c>
      <c t="s" s="30" r="D2363">
        <v>147</v>
      </c>
      <c t="s" s="30" r="E2363">
        <v>4</v>
      </c>
      <c t="s" s="30" r="F2363">
        <v>4</v>
      </c>
      <c t="s" s="30" r="G2363">
        <v>283</v>
      </c>
      <c t="str" s="12" r="H2363">
        <f>HYPERLINK("http://sofifa.com/en/fifa13winter/player/148749-guillaume-legras","G. Legras")</f>
        <v>G. Legras</v>
      </c>
      <c s="30" r="I2363">
        <v>58</v>
      </c>
      <c t="s" s="30" r="J2363">
        <v>154</v>
      </c>
      <c t="s" s="30" r="K2363">
        <v>195</v>
      </c>
      <c t="s" s="30" r="L2363">
        <v>163</v>
      </c>
      <c s="30" r="M2363">
        <v>22</v>
      </c>
      <c s="26" r="N2363">
        <v>0.3</v>
      </c>
      <c s="23" r="O2363">
        <v>0.002</v>
      </c>
      <c s="7" r="P2363"/>
      <c s="7" r="Q2363"/>
      <c s="7" r="R2363">
        <f>IF((P2363&gt;0),O2363,0)</f>
        <v>0</v>
      </c>
      <c t="str" r="S2363">
        <f>CONCATENATE(F2363,E2363)</f>
        <v>NON FTLNON FTL</v>
      </c>
    </row>
    <row r="2364">
      <c t="s" s="7" r="A2364">
        <v>201</v>
      </c>
      <c s="7" r="B2364">
        <v>2391</v>
      </c>
      <c s="30" r="C2364">
        <v>31</v>
      </c>
      <c t="s" s="30" r="D2364">
        <v>147</v>
      </c>
      <c t="s" s="30" r="E2364">
        <v>4</v>
      </c>
      <c t="s" s="30" r="F2364">
        <v>4</v>
      </c>
      <c t="s" s="30" r="G2364">
        <v>283</v>
      </c>
      <c t="str" s="12" r="H2364">
        <f>HYPERLINK("http://sofifa.com/en/fifa13winter/player/148879-teddy-mezague","T. Mézague")</f>
        <v>T. Mézague</v>
      </c>
      <c s="30" r="I2364">
        <v>61</v>
      </c>
      <c t="s" s="30" r="J2364">
        <v>113</v>
      </c>
      <c t="s" s="30" r="K2364">
        <v>132</v>
      </c>
      <c t="s" s="30" r="L2364">
        <v>108</v>
      </c>
      <c s="30" r="M2364">
        <v>22</v>
      </c>
      <c s="26" r="N2364">
        <v>0.6</v>
      </c>
      <c s="23" r="O2364">
        <v>0.003</v>
      </c>
      <c s="7" r="P2364"/>
      <c s="7" r="Q2364"/>
      <c s="7" r="R2364">
        <f>IF((P2364&gt;0),O2364,0)</f>
        <v>0</v>
      </c>
      <c t="str" r="S2364">
        <f>CONCATENATE(F2364,E2364)</f>
        <v>NON FTLNON FTL</v>
      </c>
    </row>
    <row r="2365">
      <c t="s" s="7" r="A2365">
        <v>201</v>
      </c>
      <c s="7" r="B2365">
        <v>2392</v>
      </c>
      <c s="30" r="C2365">
        <v>32</v>
      </c>
      <c t="s" s="30" r="D2365">
        <v>147</v>
      </c>
      <c t="s" s="30" r="E2365">
        <v>4</v>
      </c>
      <c t="s" s="30" r="F2365">
        <v>4</v>
      </c>
      <c t="s" s="30" r="G2365">
        <v>283</v>
      </c>
      <c t="str" s="12" r="H2365">
        <f>HYPERLINK("http://sofifa.com/en/fifa13winter/player/149009-adrien-coulomb","A. Coulomb")</f>
        <v>A. Coulomb</v>
      </c>
      <c s="30" r="I2365">
        <v>59</v>
      </c>
      <c t="s" s="30" r="J2365">
        <v>162</v>
      </c>
      <c t="s" s="30" r="K2365">
        <v>159</v>
      </c>
      <c t="s" s="30" r="L2365">
        <v>168</v>
      </c>
      <c s="30" r="M2365">
        <v>21</v>
      </c>
      <c s="26" r="N2365">
        <v>0.5</v>
      </c>
      <c s="23" r="O2365">
        <v>0.003</v>
      </c>
      <c s="7" r="P2365"/>
      <c s="7" r="Q2365"/>
      <c s="7" r="R2365">
        <f>IF((P2365&gt;0),O2365,0)</f>
        <v>0</v>
      </c>
      <c t="str" r="S2365">
        <f>CONCATENATE(F2365,E2365)</f>
        <v>NON FTLNON FTL</v>
      </c>
    </row>
    <row r="2366">
      <c t="s" s="7" r="A2366">
        <v>201</v>
      </c>
      <c s="7" r="B2366">
        <v>2393</v>
      </c>
      <c s="30" r="C2366">
        <v>28</v>
      </c>
      <c t="s" s="30" r="D2366">
        <v>147</v>
      </c>
      <c t="s" s="30" r="E2366">
        <v>4</v>
      </c>
      <c t="s" s="30" r="F2366">
        <v>4</v>
      </c>
      <c t="s" s="30" r="G2366">
        <v>283</v>
      </c>
      <c t="str" s="12" r="H2366">
        <f>HYPERLINK("http://sofifa.com/en/fifa13winter/player/148831-jonas-martin","J. Martin")</f>
        <v>J. Martin</v>
      </c>
      <c s="30" r="I2366">
        <v>60</v>
      </c>
      <c t="s" s="30" r="J2366">
        <v>162</v>
      </c>
      <c t="s" s="30" r="K2366">
        <v>143</v>
      </c>
      <c t="s" s="30" r="L2366">
        <v>122</v>
      </c>
      <c s="30" r="M2366">
        <v>22</v>
      </c>
      <c s="26" r="N2366">
        <v>0.6</v>
      </c>
      <c s="23" r="O2366">
        <v>0.003</v>
      </c>
      <c s="7" r="P2366"/>
      <c s="7" r="Q2366"/>
      <c s="7" r="R2366">
        <f>IF((P2366&gt;0),O2366,0)</f>
        <v>0</v>
      </c>
      <c t="str" r="S2366">
        <f>CONCATENATE(F2366,E2366)</f>
        <v>NON FTLNON FTL</v>
      </c>
    </row>
    <row r="2367">
      <c t="s" s="7" r="A2367">
        <v>201</v>
      </c>
      <c s="7" r="B2367">
        <v>2394</v>
      </c>
      <c s="30" r="C2367">
        <v>27</v>
      </c>
      <c t="s" s="30" r="D2367">
        <v>147</v>
      </c>
      <c t="s" s="30" r="E2367">
        <v>4</v>
      </c>
      <c t="s" s="30" r="F2367">
        <v>4</v>
      </c>
      <c t="s" s="30" r="G2367">
        <v>283</v>
      </c>
      <c t="str" s="12" r="H2367">
        <f>HYPERLINK("http://sofifa.com/en/fifa13winter/player/143605-cyril-jeunechamp","C. Jeunechamp")</f>
        <v>C. Jeunechamp</v>
      </c>
      <c s="30" r="I2367">
        <v>70</v>
      </c>
      <c t="s" s="30" r="J2367">
        <v>109</v>
      </c>
      <c t="s" s="30" r="K2367">
        <v>159</v>
      </c>
      <c t="s" s="30" r="L2367">
        <v>115</v>
      </c>
      <c s="30" r="M2367">
        <v>36</v>
      </c>
      <c s="26" r="N2367">
        <v>0.9</v>
      </c>
      <c s="23" r="O2367">
        <v>0.009</v>
      </c>
      <c s="7" r="P2367"/>
      <c s="7" r="Q2367"/>
      <c s="7" r="R2367">
        <f>IF((P2367&gt;0),O2367,0)</f>
        <v>0</v>
      </c>
      <c t="str" r="S2367">
        <f>CONCATENATE(F2367,E2367)</f>
        <v>NON FTLNON FTL</v>
      </c>
    </row>
    <row r="2368">
      <c t="s" s="7" r="A2368">
        <v>201</v>
      </c>
      <c s="7" r="B2368">
        <v>2395</v>
      </c>
      <c s="30" r="C2368">
        <v>34</v>
      </c>
      <c t="s" s="30" r="D2368">
        <v>147</v>
      </c>
      <c t="s" s="30" r="E2368">
        <v>4</v>
      </c>
      <c t="s" s="30" r="F2368">
        <v>4</v>
      </c>
      <c t="s" s="30" r="G2368">
        <v>283</v>
      </c>
      <c t="str" s="12" r="H2368">
        <f>HYPERLINK("http://sofifa.com/en/fifa13winter/player/149893-mohamed-hamzaoui","M. Hamzaoui")</f>
        <v>M. Hamzaoui</v>
      </c>
      <c s="30" r="I2368">
        <v>54</v>
      </c>
      <c t="s" s="30" r="J2368">
        <v>124</v>
      </c>
      <c t="s" s="30" r="K2368">
        <v>187</v>
      </c>
      <c t="s" s="30" r="L2368">
        <v>142</v>
      </c>
      <c s="30" r="M2368">
        <v>19</v>
      </c>
      <c s="26" r="N2368">
        <v>0.1</v>
      </c>
      <c s="23" r="O2368">
        <v>0.002</v>
      </c>
      <c s="7" r="P2368"/>
      <c s="7" r="Q2368"/>
      <c s="7" r="R2368">
        <f>IF((P2368&gt;0),O2368,0)</f>
        <v>0</v>
      </c>
      <c t="str" r="S2368">
        <f>CONCATENATE(F2368,E2368)</f>
        <v>NON FTLNON FTL</v>
      </c>
    </row>
    <row r="2369">
      <c t="s" s="7" r="A2369">
        <v>201</v>
      </c>
      <c s="7" r="B2369">
        <v>2396</v>
      </c>
      <c s="30" r="C2369">
        <v>1</v>
      </c>
      <c t="s" s="30" r="D2369">
        <v>106</v>
      </c>
      <c t="s" s="30" r="E2369">
        <v>4</v>
      </c>
      <c t="s" s="30" r="F2369">
        <v>4</v>
      </c>
      <c t="s" s="30" r="G2369">
        <v>284</v>
      </c>
      <c t="str" s="12" r="H2369">
        <f>HYPERLINK("http://sofifa.com/en/fifa13winter/player/147099-gianluca-curci","G. Curci")</f>
        <v>G. Curci</v>
      </c>
      <c s="30" r="I2369">
        <v>72</v>
      </c>
      <c t="s" s="30" r="J2369">
        <v>106</v>
      </c>
      <c t="s" s="30" r="K2369">
        <v>144</v>
      </c>
      <c t="s" s="30" r="L2369">
        <v>178</v>
      </c>
      <c s="30" r="M2369">
        <v>27</v>
      </c>
      <c s="26" r="N2369">
        <v>2.1</v>
      </c>
      <c s="23" r="O2369">
        <v>0.009</v>
      </c>
      <c s="7" r="P2369"/>
      <c s="7" r="Q2369"/>
      <c s="7" r="R2369">
        <f>IF((P2369&gt;0),O2369,0)</f>
        <v>0</v>
      </c>
      <c t="str" r="S2369">
        <f>CONCATENATE(F2369,E2369)</f>
        <v>NON FTLNON FTL</v>
      </c>
    </row>
    <row r="2370">
      <c t="s" s="7" r="A2370">
        <v>201</v>
      </c>
      <c s="7" r="B2370">
        <v>2397</v>
      </c>
      <c s="30" r="C2370">
        <v>8</v>
      </c>
      <c t="s" s="30" r="D2370">
        <v>109</v>
      </c>
      <c t="s" s="30" r="E2370">
        <v>4</v>
      </c>
      <c t="s" s="30" r="F2370">
        <v>4</v>
      </c>
      <c t="s" s="30" r="G2370">
        <v>284</v>
      </c>
      <c t="str" s="12" r="H2370">
        <f>HYPERLINK("http://sofifa.com/en/fifa13winter/player/146608-gyorgy-garics","G. Garics")</f>
        <v>G. Garics</v>
      </c>
      <c s="30" r="I2370">
        <v>72</v>
      </c>
      <c t="s" s="30" r="J2370">
        <v>109</v>
      </c>
      <c t="s" s="30" r="K2370">
        <v>110</v>
      </c>
      <c t="s" s="30" r="L2370">
        <v>137</v>
      </c>
      <c s="30" r="M2370">
        <v>28</v>
      </c>
      <c s="26" r="N2370">
        <v>2.3</v>
      </c>
      <c s="23" r="O2370">
        <v>0.009</v>
      </c>
      <c s="7" r="P2370"/>
      <c s="7" r="Q2370"/>
      <c s="7" r="R2370">
        <f>IF((P2370&gt;0),O2370,0)</f>
        <v>0</v>
      </c>
      <c t="str" r="S2370">
        <f>CONCATENATE(F2370,E2370)</f>
        <v>NON FTLNON FTL</v>
      </c>
    </row>
    <row r="2371">
      <c t="s" s="7" r="A2371">
        <v>201</v>
      </c>
      <c s="7" r="B2371">
        <v>2398</v>
      </c>
      <c s="30" r="C2371">
        <v>43</v>
      </c>
      <c t="s" s="30" r="D2371">
        <v>112</v>
      </c>
      <c t="s" s="30" r="E2371">
        <v>4</v>
      </c>
      <c t="s" s="30" r="F2371">
        <v>4</v>
      </c>
      <c t="s" s="30" r="G2371">
        <v>284</v>
      </c>
      <c t="str" s="12" r="H2371">
        <f>HYPERLINK("http://sofifa.com/en/fifa13winter/player/149567-frederik-sorensen","F. Sørensen")</f>
        <v>F. Sørensen</v>
      </c>
      <c s="30" r="I2371">
        <v>72</v>
      </c>
      <c t="s" s="30" r="J2371">
        <v>113</v>
      </c>
      <c t="s" s="30" r="K2371">
        <v>107</v>
      </c>
      <c t="s" s="30" r="L2371">
        <v>153</v>
      </c>
      <c s="30" r="M2371">
        <v>20</v>
      </c>
      <c s="26" r="N2371">
        <v>2.9</v>
      </c>
      <c s="23" r="O2371">
        <v>0.007</v>
      </c>
      <c s="7" r="P2371"/>
      <c s="7" r="Q2371"/>
      <c s="7" r="R2371">
        <f>IF((P2371&gt;0),O2371,0)</f>
        <v>0</v>
      </c>
      <c t="str" r="S2371">
        <f>CONCATENATE(F2371,E2371)</f>
        <v>NON FTLNON FTL</v>
      </c>
    </row>
    <row r="2372">
      <c t="s" s="7" r="A2372">
        <v>201</v>
      </c>
      <c s="7" r="B2372">
        <v>2399</v>
      </c>
      <c s="30" r="C2372">
        <v>5</v>
      </c>
      <c t="s" s="30" r="D2372">
        <v>116</v>
      </c>
      <c t="s" s="30" r="E2372">
        <v>4</v>
      </c>
      <c t="s" s="30" r="F2372">
        <v>4</v>
      </c>
      <c t="s" s="30" r="G2372">
        <v>284</v>
      </c>
      <c t="str" s="12" r="H2372">
        <f>HYPERLINK("http://sofifa.com/en/fifa13winter/player/145596-mikael-antonsson","M. Antonsson")</f>
        <v>M. Antonsson</v>
      </c>
      <c s="30" r="I2372">
        <v>75</v>
      </c>
      <c t="s" s="30" r="J2372">
        <v>113</v>
      </c>
      <c t="s" s="30" r="K2372">
        <v>169</v>
      </c>
      <c t="s" s="30" r="L2372">
        <v>153</v>
      </c>
      <c s="30" r="M2372">
        <v>31</v>
      </c>
      <c s="26" r="N2372">
        <v>3.3</v>
      </c>
      <c s="23" r="O2372">
        <v>0.015</v>
      </c>
      <c s="7" r="P2372"/>
      <c s="7" r="Q2372"/>
      <c s="7" r="R2372">
        <f>IF((P2372&gt;0),O2372,0)</f>
        <v>0</v>
      </c>
      <c t="str" r="S2372">
        <f>CONCATENATE(F2372,E2372)</f>
        <v>NON FTLNON FTL</v>
      </c>
    </row>
    <row r="2373">
      <c t="s" s="7" r="A2373">
        <v>201</v>
      </c>
      <c s="7" r="B2373">
        <v>2400</v>
      </c>
      <c s="30" r="C2373">
        <v>3</v>
      </c>
      <c t="s" s="30" r="D2373">
        <v>117</v>
      </c>
      <c t="s" s="30" r="E2373">
        <v>4</v>
      </c>
      <c t="s" s="30" r="F2373">
        <v>4</v>
      </c>
      <c t="s" s="30" r="G2373">
        <v>284</v>
      </c>
      <c t="str" s="12" r="H2373">
        <f>HYPERLINK("http://sofifa.com/en/fifa13winter/player/146444-archimede-morleo","A. Morleo")</f>
        <v>A. Morleo</v>
      </c>
      <c s="30" r="I2373">
        <v>72</v>
      </c>
      <c t="s" s="30" r="J2373">
        <v>117</v>
      </c>
      <c t="s" s="30" r="K2373">
        <v>187</v>
      </c>
      <c t="s" s="30" r="L2373">
        <v>115</v>
      </c>
      <c s="30" r="M2373">
        <v>28</v>
      </c>
      <c s="26" r="N2373">
        <v>2.3</v>
      </c>
      <c s="23" r="O2373">
        <v>0.009</v>
      </c>
      <c s="7" r="P2373"/>
      <c s="7" r="Q2373"/>
      <c s="7" r="R2373">
        <f>IF((P2373&gt;0),O2373,0)</f>
        <v>0</v>
      </c>
      <c t="str" r="S2373">
        <f>CONCATENATE(F2373,E2373)</f>
        <v>NON FTLNON FTL</v>
      </c>
    </row>
    <row r="2374">
      <c t="s" s="7" r="A2374">
        <v>201</v>
      </c>
      <c s="7" r="B2374">
        <v>2401</v>
      </c>
      <c s="30" r="C2374">
        <v>15</v>
      </c>
      <c t="s" s="30" r="D2374">
        <v>186</v>
      </c>
      <c t="s" s="30" r="E2374">
        <v>4</v>
      </c>
      <c t="s" s="30" r="F2374">
        <v>4</v>
      </c>
      <c t="s" s="30" r="G2374">
        <v>284</v>
      </c>
      <c t="str" s="12" r="H2374">
        <f>HYPERLINK("http://sofifa.com/en/fifa13winter/player/145218-diego-perez","D. Pérez")</f>
        <v>D. Pérez</v>
      </c>
      <c s="30" r="I2374">
        <v>74</v>
      </c>
      <c t="s" s="30" r="J2374">
        <v>124</v>
      </c>
      <c t="s" s="30" r="K2374">
        <v>159</v>
      </c>
      <c t="s" s="30" r="L2374">
        <v>183</v>
      </c>
      <c s="30" r="M2374">
        <v>32</v>
      </c>
      <c s="26" r="N2374">
        <v>2.5</v>
      </c>
      <c s="23" r="O2374">
        <v>0.013</v>
      </c>
      <c s="7" r="P2374"/>
      <c s="7" r="Q2374"/>
      <c s="7" r="R2374">
        <f>IF((P2374&gt;0),O2374,0)</f>
        <v>0</v>
      </c>
      <c t="str" r="S2374">
        <f>CONCATENATE(F2374,E2374)</f>
        <v>NON FTLNON FTL</v>
      </c>
    </row>
    <row r="2375">
      <c t="s" s="7" r="A2375">
        <v>201</v>
      </c>
      <c s="7" r="B2375">
        <v>2402</v>
      </c>
      <c s="30" r="C2375">
        <v>6</v>
      </c>
      <c t="s" s="30" r="D2375">
        <v>174</v>
      </c>
      <c t="s" s="30" r="E2375">
        <v>4</v>
      </c>
      <c t="s" s="30" r="F2375">
        <v>4</v>
      </c>
      <c t="s" s="30" r="G2375">
        <v>284</v>
      </c>
      <c t="str" s="12" r="H2375">
        <f>HYPERLINK("http://sofifa.com/en/fifa13winter/player/149522-saphir-taider","S. Taïder")</f>
        <v>S. Taïder</v>
      </c>
      <c s="30" r="I2375">
        <v>72</v>
      </c>
      <c t="s" s="30" r="J2375">
        <v>124</v>
      </c>
      <c t="s" s="30" r="K2375">
        <v>114</v>
      </c>
      <c t="s" s="30" r="L2375">
        <v>119</v>
      </c>
      <c s="30" r="M2375">
        <v>20</v>
      </c>
      <c s="26" r="N2375">
        <v>2.9</v>
      </c>
      <c s="23" r="O2375">
        <v>0.007</v>
      </c>
      <c s="7" r="P2375"/>
      <c s="7" r="Q2375"/>
      <c s="7" r="R2375">
        <f>IF((P2375&gt;0),O2375,0)</f>
        <v>0</v>
      </c>
      <c t="str" r="S2375">
        <f>CONCATENATE(F2375,E2375)</f>
        <v>NON FTLNON FTL</v>
      </c>
    </row>
    <row r="2376">
      <c t="s" s="7" r="A2376">
        <v>201</v>
      </c>
      <c s="7" r="B2376">
        <v>2403</v>
      </c>
      <c s="30" r="C2376">
        <v>33</v>
      </c>
      <c t="s" s="30" r="D2376">
        <v>234</v>
      </c>
      <c t="s" s="30" r="E2376">
        <v>4</v>
      </c>
      <c t="s" s="30" r="F2376">
        <v>4</v>
      </c>
      <c t="s" s="30" r="G2376">
        <v>284</v>
      </c>
      <c t="str" s="12" r="H2376">
        <f>HYPERLINK("http://sofifa.com/en/fifa13winter/player/147843-panagiotis-kone","P. Kone")</f>
        <v>P. Kone</v>
      </c>
      <c s="30" r="I2376">
        <v>75</v>
      </c>
      <c t="s" s="30" r="J2376">
        <v>162</v>
      </c>
      <c t="s" s="30" r="K2376">
        <v>143</v>
      </c>
      <c t="s" s="30" r="L2376">
        <v>160</v>
      </c>
      <c s="30" r="M2376">
        <v>25</v>
      </c>
      <c s="26" r="N2376">
        <v>4.8</v>
      </c>
      <c s="23" r="O2376">
        <v>0.013</v>
      </c>
      <c s="7" r="P2376"/>
      <c s="7" r="Q2376"/>
      <c s="7" r="R2376">
        <f>IF((P2376&gt;0),O2376,0)</f>
        <v>0</v>
      </c>
      <c t="str" r="S2376">
        <f>CONCATENATE(F2376,E2376)</f>
        <v>NON FTLNON FTL</v>
      </c>
    </row>
    <row r="2377">
      <c t="s" s="7" r="A2377">
        <v>201</v>
      </c>
      <c s="7" r="B2377">
        <v>2404</v>
      </c>
      <c s="30" r="C2377">
        <v>23</v>
      </c>
      <c t="s" s="30" r="D2377">
        <v>162</v>
      </c>
      <c t="s" s="30" r="E2377">
        <v>4</v>
      </c>
      <c t="s" s="30" r="F2377">
        <v>4</v>
      </c>
      <c t="s" s="30" r="G2377">
        <v>284</v>
      </c>
      <c t="str" s="12" r="H2377">
        <f>HYPERLINK("http://sofifa.com/en/fifa13winter/player/146297-alessandro-diamanti","A. Diamanti")</f>
        <v>A. Diamanti</v>
      </c>
      <c s="30" r="I2377">
        <v>83</v>
      </c>
      <c t="s" s="30" r="J2377">
        <v>162</v>
      </c>
      <c t="s" s="30" r="K2377">
        <v>114</v>
      </c>
      <c t="s" s="30" r="L2377">
        <v>151</v>
      </c>
      <c s="30" r="M2377">
        <v>29</v>
      </c>
      <c s="26" r="N2377">
        <v>15.8</v>
      </c>
      <c s="23" r="O2377">
        <v>0.074</v>
      </c>
      <c s="7" r="P2377"/>
      <c s="7" r="Q2377"/>
      <c s="7" r="R2377">
        <f>IF((P2377&gt;0),O2377,0)</f>
        <v>0</v>
      </c>
      <c t="str" r="S2377">
        <f>CONCATENATE(F2377,E2377)</f>
        <v>NON FTLNON FTL</v>
      </c>
    </row>
    <row r="2378">
      <c t="s" s="7" r="A2378">
        <v>201</v>
      </c>
      <c s="7" r="B2378">
        <v>2405</v>
      </c>
      <c s="30" r="C2378">
        <v>18</v>
      </c>
      <c t="s" s="30" r="D2378">
        <v>235</v>
      </c>
      <c t="s" s="30" r="E2378">
        <v>4</v>
      </c>
      <c t="s" s="30" r="F2378">
        <v>4</v>
      </c>
      <c t="s" s="30" r="G2378">
        <v>284</v>
      </c>
      <c t="str" s="12" r="H2378">
        <f>HYPERLINK("http://sofifa.com/en/fifa13winter/player/149427-manolo-gabbiadini","M. Gabbiadini")</f>
        <v>M. Gabbiadini</v>
      </c>
      <c s="30" r="I2378">
        <v>74</v>
      </c>
      <c t="s" s="30" r="J2378">
        <v>129</v>
      </c>
      <c t="s" s="30" r="K2378">
        <v>173</v>
      </c>
      <c t="s" s="30" r="L2378">
        <v>183</v>
      </c>
      <c s="30" r="M2378">
        <v>20</v>
      </c>
      <c s="26" r="N2378">
        <v>4.5</v>
      </c>
      <c s="23" r="O2378">
        <v>0.009</v>
      </c>
      <c s="7" r="P2378"/>
      <c s="7" r="Q2378"/>
      <c s="7" r="R2378">
        <f>IF((P2378&gt;0),O2378,0)</f>
        <v>0</v>
      </c>
      <c t="str" r="S2378">
        <f>CONCATENATE(F2378,E2378)</f>
        <v>NON FTLNON FTL</v>
      </c>
    </row>
    <row r="2379">
      <c t="s" s="7" r="A2379">
        <v>201</v>
      </c>
      <c s="7" r="B2379">
        <v>2406</v>
      </c>
      <c s="30" r="C2379">
        <v>10</v>
      </c>
      <c t="s" s="30" r="D2379">
        <v>129</v>
      </c>
      <c t="s" s="30" r="E2379">
        <v>4</v>
      </c>
      <c t="s" s="30" r="F2379">
        <v>4</v>
      </c>
      <c t="s" s="30" r="G2379">
        <v>284</v>
      </c>
      <c t="str" s="12" r="H2379">
        <f>HYPERLINK("http://sofifa.com/en/fifa13winter/player/145996-alberto-gilardino","A. Gilardino")</f>
        <v>A. Gilardino</v>
      </c>
      <c s="30" r="I2379">
        <v>78</v>
      </c>
      <c t="s" s="30" r="J2379">
        <v>129</v>
      </c>
      <c t="s" s="30" r="K2379">
        <v>167</v>
      </c>
      <c t="s" s="30" r="L2379">
        <v>158</v>
      </c>
      <c s="30" r="M2379">
        <v>30</v>
      </c>
      <c s="26" r="N2379">
        <v>6.5</v>
      </c>
      <c s="23" r="O2379">
        <v>0.021</v>
      </c>
      <c s="7" r="P2379"/>
      <c s="7" r="Q2379"/>
      <c s="7" r="R2379">
        <f>IF((P2379&gt;0),O2379,0)</f>
        <v>0</v>
      </c>
      <c t="str" r="S2379">
        <f>CONCATENATE(F2379,E2379)</f>
        <v>NON FTLNON FTL</v>
      </c>
    </row>
    <row r="2380">
      <c t="s" s="7" r="A2380">
        <v>201</v>
      </c>
      <c s="7" r="B2380">
        <v>2407</v>
      </c>
      <c s="30" r="C2380">
        <v>28</v>
      </c>
      <c t="s" s="30" r="D2380">
        <v>136</v>
      </c>
      <c t="s" s="30" r="E2380">
        <v>4</v>
      </c>
      <c t="s" s="30" r="F2380">
        <v>4</v>
      </c>
      <c t="s" s="30" r="G2380">
        <v>284</v>
      </c>
      <c t="str" s="12" r="H2380">
        <f>HYPERLINK("http://sofifa.com/en/fifa13winter/player/149123-marti-riverola-bataller","Martí Riverola")</f>
        <v>Martí Riverola</v>
      </c>
      <c s="30" r="I2380">
        <v>67</v>
      </c>
      <c t="s" s="30" r="J2380">
        <v>162</v>
      </c>
      <c t="s" s="30" r="K2380">
        <v>159</v>
      </c>
      <c t="s" s="30" r="L2380">
        <v>146</v>
      </c>
      <c s="30" r="M2380">
        <v>21</v>
      </c>
      <c s="26" r="N2380">
        <v>1.7</v>
      </c>
      <c s="23" r="O2380">
        <v>0.005</v>
      </c>
      <c s="7" r="P2380"/>
      <c s="7" r="Q2380"/>
      <c s="7" r="R2380">
        <f>IF((P2380&gt;0),O2380,0)</f>
        <v>0</v>
      </c>
      <c t="str" r="S2380">
        <f>CONCATENATE(F2380,E2380)</f>
        <v>NON FTLNON FTL</v>
      </c>
    </row>
    <row r="2381">
      <c t="s" s="7" r="A2381">
        <v>201</v>
      </c>
      <c s="7" r="B2381">
        <v>2408</v>
      </c>
      <c s="30" r="C2381">
        <v>45</v>
      </c>
      <c t="s" s="30" r="D2381">
        <v>136</v>
      </c>
      <c t="s" s="30" r="E2381">
        <v>4</v>
      </c>
      <c t="s" s="30" r="F2381">
        <v>4</v>
      </c>
      <c t="s" s="30" r="G2381">
        <v>284</v>
      </c>
      <c t="str" s="12" r="H2381">
        <f>HYPERLINK("http://sofifa.com/en/fifa13winter/player/147615-roger-de-carvalho","Roger Carvalho")</f>
        <v>Roger Carvalho</v>
      </c>
      <c s="30" r="I2381">
        <v>72</v>
      </c>
      <c t="s" s="30" r="J2381">
        <v>113</v>
      </c>
      <c t="s" s="30" r="K2381">
        <v>167</v>
      </c>
      <c t="s" s="30" r="L2381">
        <v>160</v>
      </c>
      <c s="30" r="M2381">
        <v>25</v>
      </c>
      <c s="26" r="N2381">
        <v>2.6</v>
      </c>
      <c s="23" r="O2381">
        <v>0.009</v>
      </c>
      <c s="7" r="P2381"/>
      <c s="7" r="Q2381"/>
      <c s="7" r="R2381">
        <f>IF((P2381&gt;0),O2381,0)</f>
        <v>0</v>
      </c>
      <c t="str" r="S2381">
        <f>CONCATENATE(F2381,E2381)</f>
        <v>NON FTLNON FTL</v>
      </c>
    </row>
    <row r="2382">
      <c t="s" s="7" r="A2382">
        <v>201</v>
      </c>
      <c s="7" r="B2382">
        <v>2409</v>
      </c>
      <c s="30" r="C2382">
        <v>20</v>
      </c>
      <c t="s" s="30" r="D2382">
        <v>136</v>
      </c>
      <c t="s" s="30" r="E2382">
        <v>4</v>
      </c>
      <c t="s" s="30" r="F2382">
        <v>4</v>
      </c>
      <c t="s" s="30" r="G2382">
        <v>284</v>
      </c>
      <c t="str" s="12" r="H2382">
        <f>HYPERLINK("http://sofifa.com/en/fifa13winter/player/148831-mathias-abero","M. Abero")</f>
        <v>M. Abero</v>
      </c>
      <c s="30" r="I2382">
        <v>67</v>
      </c>
      <c t="s" s="30" r="J2382">
        <v>128</v>
      </c>
      <c t="s" s="30" r="K2382">
        <v>167</v>
      </c>
      <c t="s" s="30" r="L2382">
        <v>183</v>
      </c>
      <c s="30" r="M2382">
        <v>22</v>
      </c>
      <c s="26" r="N2382">
        <v>1.5</v>
      </c>
      <c s="23" r="O2382">
        <v>0.005</v>
      </c>
      <c s="7" r="P2382"/>
      <c s="7" r="Q2382"/>
      <c s="7" r="R2382">
        <f>IF((P2382&gt;0),O2382,0)</f>
        <v>0</v>
      </c>
      <c t="str" r="S2382">
        <f>CONCATENATE(F2382,E2382)</f>
        <v>NON FTLNON FTL</v>
      </c>
    </row>
    <row r="2383">
      <c t="s" s="7" r="A2383">
        <v>201</v>
      </c>
      <c s="7" r="B2383">
        <v>2410</v>
      </c>
      <c s="30" r="C2383">
        <v>4</v>
      </c>
      <c t="s" s="30" r="D2383">
        <v>136</v>
      </c>
      <c t="s" s="30" r="E2383">
        <v>4</v>
      </c>
      <c t="s" s="30" r="F2383">
        <v>4</v>
      </c>
      <c t="s" s="30" r="G2383">
        <v>284</v>
      </c>
      <c t="str" s="12" r="H2383">
        <f>HYPERLINK("http://sofifa.com/en/fifa13winter/player/148873-rene-krhin","R. Krhin")</f>
        <v>R. Krhin</v>
      </c>
      <c s="30" r="I2383">
        <v>70</v>
      </c>
      <c t="s" s="30" r="J2383">
        <v>124</v>
      </c>
      <c t="s" s="30" r="K2383">
        <v>169</v>
      </c>
      <c t="s" s="30" r="L2383">
        <v>161</v>
      </c>
      <c s="30" r="M2383">
        <v>22</v>
      </c>
      <c s="26" r="N2383">
        <v>1.9</v>
      </c>
      <c s="23" r="O2383">
        <v>0.006</v>
      </c>
      <c s="7" r="P2383"/>
      <c s="7" r="Q2383"/>
      <c s="7" r="R2383">
        <f>IF((P2383&gt;0),O2383,0)</f>
        <v>0</v>
      </c>
      <c t="str" r="S2383">
        <f>CONCATENATE(F2383,E2383)</f>
        <v>NON FTLNON FTL</v>
      </c>
    </row>
    <row r="2384">
      <c t="s" s="7" r="A2384">
        <v>201</v>
      </c>
      <c s="7" r="B2384">
        <v>2411</v>
      </c>
      <c s="30" r="C2384">
        <v>77</v>
      </c>
      <c t="s" s="30" r="D2384">
        <v>136</v>
      </c>
      <c t="s" s="30" r="E2384">
        <v>4</v>
      </c>
      <c t="s" s="30" r="F2384">
        <v>4</v>
      </c>
      <c t="s" s="30" r="G2384">
        <v>284</v>
      </c>
      <c t="str" s="12" r="H2384">
        <f>HYPERLINK("http://sofifa.com/en/fifa13winter/player/148568-cristian-pasquato","C. Pasquato")</f>
        <v>C. Pasquato</v>
      </c>
      <c s="30" r="I2384">
        <v>72</v>
      </c>
      <c t="s" s="30" r="J2384">
        <v>171</v>
      </c>
      <c t="s" s="30" r="K2384">
        <v>187</v>
      </c>
      <c t="s" s="30" r="L2384">
        <v>122</v>
      </c>
      <c s="30" r="M2384">
        <v>23</v>
      </c>
      <c s="26" r="N2384">
        <v>3.3</v>
      </c>
      <c s="23" r="O2384">
        <v>0.008</v>
      </c>
      <c s="7" r="P2384"/>
      <c s="7" r="Q2384"/>
      <c s="7" r="R2384">
        <f>IF((P2384&gt;0),O2384,0)</f>
        <v>0</v>
      </c>
      <c t="str" r="S2384">
        <f>CONCATENATE(F2384,E2384)</f>
        <v>NON FTLNON FTL</v>
      </c>
    </row>
    <row r="2385">
      <c t="s" s="7" r="A2385">
        <v>201</v>
      </c>
      <c s="7" r="B2385">
        <v>2412</v>
      </c>
      <c s="30" r="C2385">
        <v>21</v>
      </c>
      <c t="s" s="30" r="D2385">
        <v>136</v>
      </c>
      <c t="s" s="30" r="E2385">
        <v>4</v>
      </c>
      <c t="s" s="30" r="F2385">
        <v>4</v>
      </c>
      <c t="s" s="30" r="G2385">
        <v>284</v>
      </c>
      <c t="str" s="12" r="H2385">
        <f>HYPERLINK("http://sofifa.com/en/fifa13winter/player/147304-nicolo-cherubin","N. Cherubin")</f>
        <v>N. Cherubin</v>
      </c>
      <c s="30" r="I2385">
        <v>70</v>
      </c>
      <c t="s" s="30" r="J2385">
        <v>113</v>
      </c>
      <c t="s" s="30" r="K2385">
        <v>134</v>
      </c>
      <c t="s" s="30" r="L2385">
        <v>108</v>
      </c>
      <c s="30" r="M2385">
        <v>26</v>
      </c>
      <c s="26" r="N2385">
        <v>1.8</v>
      </c>
      <c s="23" r="O2385">
        <v>0.007</v>
      </c>
      <c s="7" r="P2385"/>
      <c s="7" r="Q2385"/>
      <c s="7" r="R2385">
        <f>IF((P2385&gt;0),O2385,0)</f>
        <v>0</v>
      </c>
      <c t="str" r="S2385">
        <f>CONCATENATE(F2385,E2385)</f>
        <v>NON FTLNON FTL</v>
      </c>
    </row>
    <row r="2386">
      <c t="s" s="7" r="A2386">
        <v>201</v>
      </c>
      <c s="7" r="B2386">
        <v>2413</v>
      </c>
      <c s="30" r="C2386">
        <v>25</v>
      </c>
      <c t="s" s="30" r="D2386">
        <v>136</v>
      </c>
      <c t="s" s="30" r="E2386">
        <v>4</v>
      </c>
      <c t="s" s="30" r="F2386">
        <v>4</v>
      </c>
      <c t="s" s="30" r="G2386">
        <v>284</v>
      </c>
      <c t="str" s="12" r="H2386">
        <f>HYPERLINK("http://sofifa.com/en/fifa13winter/player/146217-federico-agliardi","F. Agliardi")</f>
        <v>F. Agliardi</v>
      </c>
      <c s="30" r="I2386">
        <v>71</v>
      </c>
      <c t="s" s="30" r="J2386">
        <v>106</v>
      </c>
      <c t="s" s="30" r="K2386">
        <v>152</v>
      </c>
      <c t="s" s="30" r="L2386">
        <v>193</v>
      </c>
      <c s="30" r="M2386">
        <v>29</v>
      </c>
      <c s="26" r="N2386">
        <v>1.7</v>
      </c>
      <c s="23" r="O2386">
        <v>0.008</v>
      </c>
      <c s="7" r="P2386"/>
      <c s="7" r="Q2386"/>
      <c s="7" r="R2386">
        <f>IF((P2386&gt;0),O2386,0)</f>
        <v>0</v>
      </c>
      <c t="str" r="S2386">
        <f>CONCATENATE(F2386,E2386)</f>
        <v>NON FTLNON FTL</v>
      </c>
    </row>
    <row r="2387">
      <c t="s" s="7" r="A2387">
        <v>201</v>
      </c>
      <c s="7" r="B2387">
        <v>2414</v>
      </c>
      <c s="30" r="C2387">
        <v>30</v>
      </c>
      <c t="s" s="30" r="D2387">
        <v>136</v>
      </c>
      <c t="s" s="30" r="E2387">
        <v>4</v>
      </c>
      <c t="s" s="30" r="F2387">
        <v>4</v>
      </c>
      <c t="s" s="30" r="G2387">
        <v>284</v>
      </c>
      <c t="str" s="12" r="H2387">
        <f>HYPERLINK("http://sofifa.com/en/fifa13winter/player/146027-michele-pazienza","M. Pazienza")</f>
        <v>M. Pazienza</v>
      </c>
      <c s="30" r="I2387">
        <v>75</v>
      </c>
      <c t="s" s="30" r="J2387">
        <v>154</v>
      </c>
      <c t="s" s="30" r="K2387">
        <v>118</v>
      </c>
      <c t="s" s="30" r="L2387">
        <v>151</v>
      </c>
      <c s="30" r="M2387">
        <v>30</v>
      </c>
      <c s="26" r="N2387">
        <v>3.3</v>
      </c>
      <c s="23" r="O2387">
        <v>0.014</v>
      </c>
      <c s="7" r="P2387"/>
      <c s="7" r="Q2387"/>
      <c s="7" r="R2387">
        <f>IF((P2387&gt;0),O2387,0)</f>
        <v>0</v>
      </c>
      <c t="str" r="S2387">
        <f>CONCATENATE(F2387,E2387)</f>
        <v>NON FTLNON FTL</v>
      </c>
    </row>
    <row r="2388">
      <c t="s" s="7" r="A2388">
        <v>201</v>
      </c>
      <c s="7" r="B2388">
        <v>2415</v>
      </c>
      <c s="30" r="C2388">
        <v>9</v>
      </c>
      <c t="s" s="30" r="D2388">
        <v>136</v>
      </c>
      <c t="s" s="30" r="E2388">
        <v>4</v>
      </c>
      <c t="s" s="30" r="F2388">
        <v>4</v>
      </c>
      <c t="s" s="30" r="G2388">
        <v>284</v>
      </c>
      <c t="str" s="12" r="H2388">
        <f>HYPERLINK("http://sofifa.com/en/fifa13winter/player/145113-davide-moscardelli","D. Moscardelli")</f>
        <v>D. Moscardelli</v>
      </c>
      <c s="30" r="I2388">
        <v>73</v>
      </c>
      <c t="s" s="30" r="J2388">
        <v>129</v>
      </c>
      <c t="s" s="30" r="K2388">
        <v>132</v>
      </c>
      <c t="s" s="30" r="L2388">
        <v>153</v>
      </c>
      <c s="30" r="M2388">
        <v>32</v>
      </c>
      <c s="26" r="N2388">
        <v>2.9</v>
      </c>
      <c s="23" r="O2388">
        <v>0.012</v>
      </c>
      <c s="7" r="P2388"/>
      <c s="7" r="Q2388"/>
      <c s="7" r="R2388">
        <f>IF((P2388&gt;0),O2388,0)</f>
        <v>0</v>
      </c>
      <c t="str" r="S2388">
        <f>CONCATENATE(F2388,E2388)</f>
        <v>NON FTLNON FTL</v>
      </c>
    </row>
    <row r="2389">
      <c t="s" s="7" r="A2389">
        <v>201</v>
      </c>
      <c s="7" r="B2389">
        <v>2416</v>
      </c>
      <c s="30" r="C2389">
        <v>17</v>
      </c>
      <c t="s" s="30" r="D2389">
        <v>136</v>
      </c>
      <c t="s" s="30" r="E2389">
        <v>4</v>
      </c>
      <c t="s" s="30" r="F2389">
        <v>4</v>
      </c>
      <c t="s" s="30" r="G2389">
        <v>284</v>
      </c>
      <c t="str" s="12" r="H2389">
        <f>HYPERLINK("http://sofifa.com/en/fifa13winter/player/147211-tiberio-guarente","T. Guarente")</f>
        <v>T. Guarente</v>
      </c>
      <c s="30" r="I2389">
        <v>72</v>
      </c>
      <c t="s" s="30" r="J2389">
        <v>124</v>
      </c>
      <c t="s" s="30" r="K2389">
        <v>143</v>
      </c>
      <c t="s" s="30" r="L2389">
        <v>160</v>
      </c>
      <c s="30" r="M2389">
        <v>26</v>
      </c>
      <c s="26" r="N2389">
        <v>2.5</v>
      </c>
      <c s="23" r="O2389">
        <v>0.009</v>
      </c>
      <c s="7" r="P2389"/>
      <c s="7" r="Q2389"/>
      <c s="7" r="R2389">
        <f>IF((P2389&gt;0),O2389,0)</f>
        <v>0</v>
      </c>
      <c t="str" r="S2389">
        <f>CONCATENATE(F2389,E2389)</f>
        <v>NON FTLNON FTL</v>
      </c>
    </row>
    <row r="2390">
      <c t="s" s="7" r="A2390">
        <v>201</v>
      </c>
      <c s="7" r="B2390">
        <v>2417</v>
      </c>
      <c s="30" r="C2390">
        <v>11</v>
      </c>
      <c t="s" s="30" r="D2390">
        <v>136</v>
      </c>
      <c t="s" s="30" r="E2390">
        <v>4</v>
      </c>
      <c t="s" s="30" r="F2390">
        <v>4</v>
      </c>
      <c t="s" s="30" r="G2390">
        <v>284</v>
      </c>
      <c t="str" s="12" r="H2390">
        <f>HYPERLINK("http://sofifa.com/en/fifa13winter/player/147405-marco-motta","M. Motta")</f>
        <v>M. Motta</v>
      </c>
      <c s="30" r="I2390">
        <v>72</v>
      </c>
      <c t="s" s="30" r="J2390">
        <v>109</v>
      </c>
      <c t="s" s="30" r="K2390">
        <v>173</v>
      </c>
      <c t="s" s="30" r="L2390">
        <v>137</v>
      </c>
      <c s="30" r="M2390">
        <v>26</v>
      </c>
      <c s="26" r="N2390">
        <v>2.4</v>
      </c>
      <c s="23" r="O2390">
        <v>0.009</v>
      </c>
      <c s="7" r="P2390"/>
      <c s="7" r="Q2390"/>
      <c s="7" r="R2390">
        <f>IF((P2390&gt;0),O2390,0)</f>
        <v>0</v>
      </c>
      <c t="str" r="S2390">
        <f>CONCATENATE(F2390,E2390)</f>
        <v>NON FTLNON FTL</v>
      </c>
    </row>
    <row r="2391">
      <c t="s" s="7" r="A2391">
        <v>201</v>
      </c>
      <c s="7" r="B2391">
        <v>2418</v>
      </c>
      <c s="30" r="C2391">
        <v>19</v>
      </c>
      <c t="s" s="30" r="D2391">
        <v>136</v>
      </c>
      <c t="s" s="30" r="E2391">
        <v>4</v>
      </c>
      <c t="s" s="30" r="F2391">
        <v>4</v>
      </c>
      <c t="s" s="30" r="G2391">
        <v>284</v>
      </c>
      <c t="str" s="12" r="H2391">
        <f>HYPERLINK("http://sofifa.com/en/fifa13winter/player/147624-lazaros-christodoulopoulos","L. Christodoulopoulos")</f>
        <v>L. Christodoulopoulos</v>
      </c>
      <c s="30" r="I2391">
        <v>74</v>
      </c>
      <c t="s" s="30" r="J2391">
        <v>162</v>
      </c>
      <c t="s" s="30" r="K2391">
        <v>110</v>
      </c>
      <c t="s" s="30" r="L2391">
        <v>138</v>
      </c>
      <c s="30" r="M2391">
        <v>25</v>
      </c>
      <c s="26" r="N2391">
        <v>3.9</v>
      </c>
      <c s="23" r="O2391">
        <v>0.011</v>
      </c>
      <c s="7" r="P2391"/>
      <c s="7" r="Q2391"/>
      <c s="7" r="R2391">
        <f>IF((P2391&gt;0),O2391,0)</f>
        <v>0</v>
      </c>
      <c t="str" r="S2391">
        <f>CONCATENATE(F2391,E2391)</f>
        <v>NON FTLNON FTL</v>
      </c>
    </row>
    <row r="2392">
      <c t="s" s="7" r="A2392">
        <v>201</v>
      </c>
      <c s="7" r="B2392">
        <v>2419</v>
      </c>
      <c s="30" r="C2392">
        <v>13</v>
      </c>
      <c t="s" s="30" r="D2392">
        <v>147</v>
      </c>
      <c t="s" s="30" r="E2392">
        <v>4</v>
      </c>
      <c t="s" s="30" r="F2392">
        <v>4</v>
      </c>
      <c t="s" s="30" r="G2392">
        <v>284</v>
      </c>
      <c t="str" s="12" r="H2392">
        <f>HYPERLINK("http://sofifa.com/en/fifa13winter/player/146584-nico-pulzetti","N. Pulzetti")</f>
        <v>N. Pulzetti</v>
      </c>
      <c s="30" r="I2392">
        <v>71</v>
      </c>
      <c t="s" s="30" r="J2392">
        <v>120</v>
      </c>
      <c t="s" s="30" r="K2392">
        <v>139</v>
      </c>
      <c t="s" s="30" r="L2392">
        <v>122</v>
      </c>
      <c s="30" r="M2392">
        <v>28</v>
      </c>
      <c s="26" r="N2392">
        <v>2.2</v>
      </c>
      <c s="23" r="O2392">
        <v>0.008</v>
      </c>
      <c s="7" r="P2392"/>
      <c s="7" r="Q2392"/>
      <c s="7" r="R2392">
        <f>IF((P2392&gt;0),O2392,0)</f>
        <v>0</v>
      </c>
      <c t="str" r="S2392">
        <f>CONCATENATE(F2392,E2392)</f>
        <v>NON FTLNON FTL</v>
      </c>
    </row>
    <row r="2393">
      <c t="s" s="7" r="A2393">
        <v>201</v>
      </c>
      <c s="7" r="B2393">
        <v>2420</v>
      </c>
      <c s="30" r="C2393">
        <v>22</v>
      </c>
      <c t="s" s="30" r="D2393">
        <v>147</v>
      </c>
      <c t="s" s="30" r="E2393">
        <v>4</v>
      </c>
      <c t="s" s="30" r="F2393">
        <v>4</v>
      </c>
      <c t="s" s="30" r="G2393">
        <v>284</v>
      </c>
      <c t="str" s="12" r="H2393">
        <f>HYPERLINK("http://sofifa.com/en/fifa13winter/player/148844-filippo-lombardi","F. Lombardi")</f>
        <v>F. Lombardi</v>
      </c>
      <c s="30" r="I2393">
        <v>54</v>
      </c>
      <c t="s" s="30" r="J2393">
        <v>106</v>
      </c>
      <c t="s" s="30" r="K2393">
        <v>155</v>
      </c>
      <c t="s" s="30" r="L2393">
        <v>137</v>
      </c>
      <c s="30" r="M2393">
        <v>22</v>
      </c>
      <c s="26" r="N2393">
        <v>0.1</v>
      </c>
      <c s="23" r="O2393">
        <v>0.002</v>
      </c>
      <c s="7" r="P2393"/>
      <c s="7" r="Q2393"/>
      <c s="7" r="R2393">
        <f>IF((P2393&gt;0),O2393,0)</f>
        <v>0</v>
      </c>
      <c t="str" r="S2393">
        <f>CONCATENATE(F2393,E2393)</f>
        <v>NON FTLNON FTL</v>
      </c>
    </row>
    <row r="2394">
      <c t="s" s="7" r="A2394">
        <v>201</v>
      </c>
      <c s="7" r="B2394">
        <v>2421</v>
      </c>
      <c s="30" r="C2394">
        <v>44</v>
      </c>
      <c t="s" s="30" r="D2394">
        <v>147</v>
      </c>
      <c t="s" s="30" r="E2394">
        <v>4</v>
      </c>
      <c t="s" s="30" r="F2394">
        <v>4</v>
      </c>
      <c t="s" s="30" r="G2394">
        <v>284</v>
      </c>
      <c t="str" s="12" r="H2394">
        <f>HYPERLINK("http://sofifa.com/en/fifa13winter/player/148239-edinaldo-gomes-pereira","Naldo")</f>
        <v>Naldo</v>
      </c>
      <c s="30" r="I2394">
        <v>71</v>
      </c>
      <c t="s" s="30" r="J2394">
        <v>113</v>
      </c>
      <c t="s" s="30" r="K2394">
        <v>134</v>
      </c>
      <c t="s" s="30" r="L2394">
        <v>156</v>
      </c>
      <c s="30" r="M2394">
        <v>24</v>
      </c>
      <c s="26" r="N2394">
        <v>2.4</v>
      </c>
      <c s="23" r="O2394">
        <v>0.008</v>
      </c>
      <c s="7" r="P2394"/>
      <c s="7" r="Q2394"/>
      <c s="7" r="R2394">
        <f>IF((P2394&gt;0),O2394,0)</f>
        <v>0</v>
      </c>
      <c t="str" r="S2394">
        <f>CONCATENATE(F2394,E2394)</f>
        <v>NON FTLNON FTL</v>
      </c>
    </row>
    <row r="2395">
      <c t="s" s="7" r="A2395">
        <v>201</v>
      </c>
      <c s="7" r="B2395">
        <v>2422</v>
      </c>
      <c s="30" r="C2395">
        <v>32</v>
      </c>
      <c t="s" s="30" r="D2395">
        <v>147</v>
      </c>
      <c t="s" s="30" r="E2395">
        <v>4</v>
      </c>
      <c t="s" s="30" r="F2395">
        <v>4</v>
      </c>
      <c t="s" s="30" r="G2395">
        <v>284</v>
      </c>
      <c t="str" s="12" r="H2395">
        <f>HYPERLINK("http://sofifa.com/en/fifa13winter/player/150028-dejan-stojanovic","D. Stojanovic")</f>
        <v>D. Stojanovic</v>
      </c>
      <c s="30" r="I2395">
        <v>60</v>
      </c>
      <c t="s" s="30" r="J2395">
        <v>106</v>
      </c>
      <c t="s" s="30" r="K2395">
        <v>198</v>
      </c>
      <c t="s" s="30" r="L2395">
        <v>191</v>
      </c>
      <c s="30" r="M2395">
        <v>19</v>
      </c>
      <c s="26" r="N2395">
        <v>0.5</v>
      </c>
      <c s="23" r="O2395">
        <v>0.003</v>
      </c>
      <c s="7" r="P2395"/>
      <c s="7" r="Q2395"/>
      <c s="7" r="R2395">
        <f>IF((P2395&gt;0),O2395,0)</f>
        <v>0</v>
      </c>
      <c t="str" r="S2395">
        <f>CONCATENATE(F2395,E2395)</f>
        <v>NON FTLNON FTL</v>
      </c>
    </row>
    <row r="2396">
      <c t="s" s="7" r="A2396">
        <v>201</v>
      </c>
      <c s="7" r="B2396">
        <v>2423</v>
      </c>
      <c s="30" r="C2396">
        <v>14</v>
      </c>
      <c t="s" s="30" r="D2396">
        <v>147</v>
      </c>
      <c t="s" s="30" r="E2396">
        <v>4</v>
      </c>
      <c t="s" s="30" r="F2396">
        <v>4</v>
      </c>
      <c t="s" s="30" r="G2396">
        <v>284</v>
      </c>
      <c t="str" s="12" r="H2396">
        <f>HYPERLINK("http://sofifa.com/en/fifa13winter/player/144809-cesare-natali","C. Natali")</f>
        <v>C. Natali</v>
      </c>
      <c s="30" r="I2396">
        <v>76</v>
      </c>
      <c t="s" s="30" r="J2396">
        <v>113</v>
      </c>
      <c t="s" s="30" r="K2396">
        <v>144</v>
      </c>
      <c t="s" s="30" r="L2396">
        <v>192</v>
      </c>
      <c s="30" r="M2396">
        <v>33</v>
      </c>
      <c s="26" r="N2396">
        <v>3.7</v>
      </c>
      <c s="23" r="O2396">
        <v>0.018</v>
      </c>
      <c s="7" r="P2396"/>
      <c s="7" r="Q2396"/>
      <c s="7" r="R2396">
        <f>IF((P2396&gt;0),O2396,0)</f>
        <v>0</v>
      </c>
      <c t="str" r="S2396">
        <f>CONCATENATE(F2396,E2396)</f>
        <v>NON FTLNON FTL</v>
      </c>
    </row>
    <row r="2397">
      <c t="s" s="7" r="A2397">
        <v>201</v>
      </c>
      <c s="7" r="B2397">
        <v>2424</v>
      </c>
      <c s="30" r="C2397">
        <v>31</v>
      </c>
      <c t="s" s="30" r="D2397">
        <v>147</v>
      </c>
      <c t="s" s="30" r="E2397">
        <v>4</v>
      </c>
      <c t="s" s="30" r="F2397">
        <v>4</v>
      </c>
      <c t="s" s="30" r="G2397">
        <v>284</v>
      </c>
      <c t="str" s="12" r="H2397">
        <f>HYPERLINK("http://sofifa.com/en/fifa13winter/player/150283-uros-radakovic","U. Radakovic")</f>
        <v>U. Radakovic</v>
      </c>
      <c s="30" r="I2397">
        <v>65</v>
      </c>
      <c t="s" s="30" r="J2397">
        <v>113</v>
      </c>
      <c t="s" s="30" r="K2397">
        <v>143</v>
      </c>
      <c t="s" s="30" r="L2397">
        <v>122</v>
      </c>
      <c s="30" r="M2397">
        <v>18</v>
      </c>
      <c s="26" r="N2397">
        <v>1.1</v>
      </c>
      <c s="23" r="O2397">
        <v>0.004</v>
      </c>
      <c s="7" r="P2397"/>
      <c s="7" r="Q2397"/>
      <c s="7" r="R2397">
        <f>IF((P2397&gt;0),O2397,0)</f>
        <v>0</v>
      </c>
      <c t="str" r="S2397">
        <f>CONCATENATE(F2397,E2397)</f>
        <v>NON FTLNON FTL</v>
      </c>
    </row>
    <row r="2398">
      <c t="s" s="7" r="A2398">
        <v>201</v>
      </c>
      <c s="7" r="B2398">
        <v>2425</v>
      </c>
      <c s="30" r="C2398">
        <v>1</v>
      </c>
      <c t="s" s="30" r="D2398">
        <v>106</v>
      </c>
      <c t="s" s="30" r="E2398">
        <v>4</v>
      </c>
      <c t="s" s="30" r="F2398">
        <v>4</v>
      </c>
      <c t="s" s="30" r="G2398">
        <v>285</v>
      </c>
      <c t="str" s="12" r="H2398">
        <f>HYPERLINK("http://sofifa.com/en/fifa13winter/player/143570-joaquim-manuel-sampaio-silva","Quim")</f>
        <v>Quim</v>
      </c>
      <c s="30" r="I2398">
        <v>75</v>
      </c>
      <c t="s" s="30" r="J2398">
        <v>106</v>
      </c>
      <c t="s" s="30" r="K2398">
        <v>143</v>
      </c>
      <c t="s" s="30" r="L2398">
        <v>153</v>
      </c>
      <c s="30" r="M2398">
        <v>36</v>
      </c>
      <c s="26" r="N2398">
        <v>1.9</v>
      </c>
      <c s="23" r="O2398">
        <v>0.016</v>
      </c>
      <c s="7" r="P2398"/>
      <c s="7" r="Q2398"/>
      <c s="7" r="R2398">
        <f>IF((P2398&gt;0),O2398,0)</f>
        <v>0</v>
      </c>
      <c t="str" r="S2398">
        <f>CONCATENATE(F2398,E2398)</f>
        <v>NON FTLNON FTL</v>
      </c>
    </row>
    <row r="2399">
      <c t="s" s="7" r="A2399">
        <v>201</v>
      </c>
      <c s="7" r="B2399">
        <v>2426</v>
      </c>
      <c s="30" r="C2399">
        <v>25</v>
      </c>
      <c t="s" s="30" r="D2399">
        <v>109</v>
      </c>
      <c t="s" s="30" r="E2399">
        <v>4</v>
      </c>
      <c t="s" s="30" r="F2399">
        <v>4</v>
      </c>
      <c t="s" s="30" r="G2399">
        <v>285</v>
      </c>
      <c t="str" s="12" r="H2399">
        <f>HYPERLINK("http://sofifa.com/en/fifa13winter/player/147018-leandro-salino-do-carmo","Leandro Salino")</f>
        <v>Leandro Salino</v>
      </c>
      <c s="30" r="I2399">
        <v>75</v>
      </c>
      <c t="s" s="30" r="J2399">
        <v>109</v>
      </c>
      <c t="s" s="30" r="K2399">
        <v>148</v>
      </c>
      <c t="s" s="30" r="L2399">
        <v>164</v>
      </c>
      <c s="30" r="M2399">
        <v>27</v>
      </c>
      <c s="26" r="N2399">
        <v>3.8</v>
      </c>
      <c s="23" r="O2399">
        <v>0.013</v>
      </c>
      <c s="7" r="P2399"/>
      <c s="7" r="Q2399"/>
      <c s="7" r="R2399">
        <f>IF((P2399&gt;0),O2399,0)</f>
        <v>0</v>
      </c>
      <c t="str" r="S2399">
        <f>CONCATENATE(F2399,E2399)</f>
        <v>NON FTLNON FTL</v>
      </c>
    </row>
    <row r="2400">
      <c t="s" s="7" r="A2400">
        <v>201</v>
      </c>
      <c s="7" r="B2400">
        <v>2427</v>
      </c>
      <c s="30" r="C2400">
        <v>75</v>
      </c>
      <c t="s" s="30" r="D2400">
        <v>112</v>
      </c>
      <c t="s" s="30" r="E2400">
        <v>4</v>
      </c>
      <c t="s" s="30" r="F2400">
        <v>4</v>
      </c>
      <c t="s" s="30" r="G2400">
        <v>285</v>
      </c>
      <c t="str" s="12" r="H2400">
        <f>HYPERLINK("http://sofifa.com/en/fifa13winter/player/148466-aderlan-leandro-de-jesus-santos","Santos")</f>
        <v>Santos</v>
      </c>
      <c s="30" r="I2400">
        <v>68</v>
      </c>
      <c t="s" s="30" r="J2400">
        <v>113</v>
      </c>
      <c t="s" s="30" r="K2400">
        <v>107</v>
      </c>
      <c t="s" s="30" r="L2400">
        <v>108</v>
      </c>
      <c s="30" r="M2400">
        <v>23</v>
      </c>
      <c s="26" r="N2400">
        <v>1.6</v>
      </c>
      <c s="23" r="O2400">
        <v>0.006</v>
      </c>
      <c s="7" r="P2400"/>
      <c s="7" r="Q2400"/>
      <c s="7" r="R2400">
        <f>IF((P2400&gt;0),O2400,0)</f>
        <v>0</v>
      </c>
      <c t="str" r="S2400">
        <f>CONCATENATE(F2400,E2400)</f>
        <v>NON FTLNON FTL</v>
      </c>
    </row>
    <row r="2401">
      <c t="s" s="7" r="A2401">
        <v>201</v>
      </c>
      <c s="7" r="B2401">
        <v>2428</v>
      </c>
      <c s="30" r="C2401">
        <v>26</v>
      </c>
      <c t="s" s="30" r="D2401">
        <v>116</v>
      </c>
      <c t="s" s="30" r="E2401">
        <v>4</v>
      </c>
      <c t="s" s="30" r="F2401">
        <v>4</v>
      </c>
      <c t="s" s="30" r="G2401">
        <v>285</v>
      </c>
      <c t="str" s="12" r="H2401">
        <f>HYPERLINK("http://sofifa.com/en/fifa13winter/player/146765-paulo-vinicius-de-souza-nascimento","Paulo Vinícius")</f>
        <v>Paulo Vinícius</v>
      </c>
      <c s="30" r="I2401">
        <v>73</v>
      </c>
      <c t="s" s="30" r="J2401">
        <v>113</v>
      </c>
      <c t="s" s="30" r="K2401">
        <v>173</v>
      </c>
      <c t="s" s="30" r="L2401">
        <v>193</v>
      </c>
      <c s="30" r="M2401">
        <v>28</v>
      </c>
      <c s="26" r="N2401">
        <v>2.8</v>
      </c>
      <c s="23" r="O2401">
        <v>0.01</v>
      </c>
      <c s="7" r="P2401"/>
      <c s="7" r="Q2401"/>
      <c s="7" r="R2401">
        <f>IF((P2401&gt;0),O2401,0)</f>
        <v>0</v>
      </c>
      <c t="str" r="S2401">
        <f>CONCATENATE(F2401,E2401)</f>
        <v>NON FTLNON FTL</v>
      </c>
    </row>
    <row r="2402">
      <c t="s" s="7" r="A2402">
        <v>201</v>
      </c>
      <c s="7" r="B2402">
        <v>2429</v>
      </c>
      <c s="30" r="C2402">
        <v>20</v>
      </c>
      <c t="s" s="30" r="D2402">
        <v>117</v>
      </c>
      <c t="s" s="30" r="E2402">
        <v>4</v>
      </c>
      <c t="s" s="30" r="F2402">
        <v>4</v>
      </c>
      <c t="s" s="30" r="G2402">
        <v>285</v>
      </c>
      <c t="str" s="12" r="H2402">
        <f>HYPERLINK("http://sofifa.com/en/fifa13winter/player/148021-elderson-echiejile","E. Echiéjilé")</f>
        <v>E. Echiéjilé</v>
      </c>
      <c s="30" r="I2402">
        <v>71</v>
      </c>
      <c t="s" s="30" r="J2402">
        <v>117</v>
      </c>
      <c t="s" s="30" r="K2402">
        <v>169</v>
      </c>
      <c t="s" s="30" r="L2402">
        <v>137</v>
      </c>
      <c s="30" r="M2402">
        <v>24</v>
      </c>
      <c s="26" r="N2402">
        <v>2.1</v>
      </c>
      <c s="23" r="O2402">
        <v>0.008</v>
      </c>
      <c s="7" r="P2402"/>
      <c s="7" r="Q2402"/>
      <c s="7" r="R2402">
        <f>IF((P2402&gt;0),O2402,0)</f>
        <v>0</v>
      </c>
      <c t="str" r="S2402">
        <f>CONCATENATE(F2402,E2402)</f>
        <v>NON FTLNON FTL</v>
      </c>
    </row>
    <row r="2403">
      <c t="s" s="7" r="A2403">
        <v>201</v>
      </c>
      <c s="7" r="B2403">
        <v>2430</v>
      </c>
      <c s="30" r="C2403">
        <v>27</v>
      </c>
      <c t="s" s="30" r="D2403">
        <v>154</v>
      </c>
      <c t="s" s="30" r="E2403">
        <v>4</v>
      </c>
      <c t="s" s="30" r="F2403">
        <v>4</v>
      </c>
      <c t="s" s="30" r="G2403">
        <v>285</v>
      </c>
      <c t="str" s="12" r="H2403">
        <f>HYPERLINK("http://sofifa.com/en/fifa13winter/player/146319-custodio-miguel-dias-de-castro","Custódio")</f>
        <v>Custódio</v>
      </c>
      <c s="30" r="I2403">
        <v>75</v>
      </c>
      <c t="s" s="30" r="J2403">
        <v>154</v>
      </c>
      <c t="s" s="30" r="K2403">
        <v>114</v>
      </c>
      <c t="s" s="30" r="L2403">
        <v>151</v>
      </c>
      <c s="30" r="M2403">
        <v>29</v>
      </c>
      <c s="26" r="N2403">
        <v>3.5</v>
      </c>
      <c s="23" r="O2403">
        <v>0.014</v>
      </c>
      <c s="7" r="P2403"/>
      <c s="7" r="Q2403"/>
      <c s="7" r="R2403">
        <f>IF((P2403&gt;0),O2403,0)</f>
        <v>0</v>
      </c>
      <c t="str" r="S2403">
        <f>CONCATENATE(F2403,E2403)</f>
        <v>NON FTLNON FTL</v>
      </c>
    </row>
    <row r="2404">
      <c t="s" s="7" r="A2404">
        <v>201</v>
      </c>
      <c s="7" r="B2404">
        <v>2431</v>
      </c>
      <c s="30" r="C2404">
        <v>14</v>
      </c>
      <c t="s" s="30" r="D2404">
        <v>123</v>
      </c>
      <c t="s" s="30" r="E2404">
        <v>4</v>
      </c>
      <c t="s" s="30" r="F2404">
        <v>4</v>
      </c>
      <c t="s" s="30" r="G2404">
        <v>285</v>
      </c>
      <c t="str" s="12" r="H2404">
        <f>HYPERLINK("http://sofifa.com/en/fifa13winter/player/147502-ruben-micael-f-da-ressureicao","Rúben Micael")</f>
        <v>Rúben Micael</v>
      </c>
      <c s="30" r="I2404">
        <v>75</v>
      </c>
      <c t="s" s="30" r="J2404">
        <v>124</v>
      </c>
      <c t="s" s="30" r="K2404">
        <v>172</v>
      </c>
      <c t="s" s="30" r="L2404">
        <v>122</v>
      </c>
      <c s="30" r="M2404">
        <v>26</v>
      </c>
      <c s="26" r="N2404">
        <v>4</v>
      </c>
      <c s="23" r="O2404">
        <v>0.013</v>
      </c>
      <c s="7" r="P2404"/>
      <c s="7" r="Q2404"/>
      <c s="7" r="R2404">
        <f>IF((P2404&gt;0),O2404,0)</f>
        <v>0</v>
      </c>
      <c t="str" r="S2404">
        <f>CONCATENATE(F2404,E2404)</f>
        <v>NON FTLNON FTL</v>
      </c>
    </row>
    <row r="2405">
      <c t="s" s="7" r="A2405">
        <v>201</v>
      </c>
      <c s="7" r="B2405">
        <v>2432</v>
      </c>
      <c s="30" r="C2405">
        <v>45</v>
      </c>
      <c t="s" s="30" r="D2405">
        <v>126</v>
      </c>
      <c t="s" s="30" r="E2405">
        <v>4</v>
      </c>
      <c t="s" s="30" r="F2405">
        <v>4</v>
      </c>
      <c t="s" s="30" r="G2405">
        <v>285</v>
      </c>
      <c t="str" s="12" r="H2405">
        <f>HYPERLINK("http://sofifa.com/en/fifa13winter/player/146190-hugo-miguel-ferreira-viana","Hugo Viana")</f>
        <v>Hugo Viana</v>
      </c>
      <c s="30" r="I2405">
        <v>78</v>
      </c>
      <c t="s" s="30" r="J2405">
        <v>124</v>
      </c>
      <c t="s" s="30" r="K2405">
        <v>118</v>
      </c>
      <c t="s" s="30" r="L2405">
        <v>160</v>
      </c>
      <c s="30" r="M2405">
        <v>29</v>
      </c>
      <c s="26" r="N2405">
        <v>5.7</v>
      </c>
      <c s="23" r="O2405">
        <v>0.02</v>
      </c>
      <c s="7" r="P2405"/>
      <c s="7" r="Q2405"/>
      <c s="7" r="R2405">
        <f>IF((P2405&gt;0),O2405,0)</f>
        <v>0</v>
      </c>
      <c t="str" r="S2405">
        <f>CONCATENATE(F2405,E2405)</f>
        <v>NON FTLNON FTL</v>
      </c>
    </row>
    <row r="2406">
      <c t="s" s="7" r="A2406">
        <v>201</v>
      </c>
      <c s="7" r="B2406">
        <v>2433</v>
      </c>
      <c s="30" r="C2406">
        <v>30</v>
      </c>
      <c t="s" s="30" r="D2406">
        <v>157</v>
      </c>
      <c t="s" s="30" r="E2406">
        <v>4</v>
      </c>
      <c t="s" s="30" r="F2406">
        <v>4</v>
      </c>
      <c t="s" s="30" r="G2406">
        <v>285</v>
      </c>
      <c t="str" s="12" r="H2406">
        <f>HYPERLINK("http://sofifa.com/en/fifa13winter/player/144976-alan-osorio-silva","Alan")</f>
        <v>Alan</v>
      </c>
      <c s="30" r="I2406">
        <v>77</v>
      </c>
      <c t="s" s="30" r="J2406">
        <v>120</v>
      </c>
      <c t="s" s="30" r="K2406">
        <v>114</v>
      </c>
      <c t="s" s="30" r="L2406">
        <v>122</v>
      </c>
      <c s="30" r="M2406">
        <v>32</v>
      </c>
      <c s="26" r="N2406">
        <v>4.4</v>
      </c>
      <c s="23" r="O2406">
        <v>0.02</v>
      </c>
      <c s="7" r="P2406"/>
      <c s="7" r="Q2406"/>
      <c s="7" r="R2406">
        <f>IF((P2406&gt;0),O2406,0)</f>
        <v>0</v>
      </c>
      <c t="str" r="S2406">
        <f>CONCATENATE(F2406,E2406)</f>
        <v>NON FTLNON FTL</v>
      </c>
    </row>
    <row r="2407">
      <c t="s" s="7" r="A2407">
        <v>201</v>
      </c>
      <c s="7" r="B2407">
        <v>2434</v>
      </c>
      <c s="30" r="C2407">
        <v>17</v>
      </c>
      <c t="s" s="30" r="D2407">
        <v>129</v>
      </c>
      <c t="s" s="30" r="E2407">
        <v>4</v>
      </c>
      <c t="s" s="30" r="F2407">
        <v>4</v>
      </c>
      <c t="s" s="30" r="G2407">
        <v>285</v>
      </c>
      <c t="str" s="12" r="H2407">
        <f>HYPERLINK("http://sofifa.com/en/fifa13winter/player/147992-eder-macedo-lopes","Éder")</f>
        <v>Éder</v>
      </c>
      <c s="30" r="I2407">
        <v>78</v>
      </c>
      <c t="s" s="30" r="J2407">
        <v>129</v>
      </c>
      <c t="s" s="30" r="K2407">
        <v>134</v>
      </c>
      <c t="s" s="30" r="L2407">
        <v>183</v>
      </c>
      <c s="30" r="M2407">
        <v>24</v>
      </c>
      <c s="26" r="N2407">
        <v>7.9</v>
      </c>
      <c s="23" r="O2407">
        <v>0.019</v>
      </c>
      <c s="7" r="P2407"/>
      <c s="7" r="Q2407"/>
      <c s="7" r="R2407">
        <f>IF((P2407&gt;0),O2407,0)</f>
        <v>0</v>
      </c>
      <c t="str" r="S2407">
        <f>CONCATENATE(F2407,E2407)</f>
        <v>NON FTLNON FTL</v>
      </c>
    </row>
    <row r="2408">
      <c t="s" s="7" r="A2408">
        <v>201</v>
      </c>
      <c s="7" r="B2408">
        <v>2435</v>
      </c>
      <c s="30" r="C2408">
        <v>10</v>
      </c>
      <c t="s" s="30" r="D2408">
        <v>170</v>
      </c>
      <c t="s" s="30" r="E2408">
        <v>4</v>
      </c>
      <c t="s" s="30" r="F2408">
        <v>4</v>
      </c>
      <c t="s" s="30" r="G2408">
        <v>285</v>
      </c>
      <c t="str" s="12" r="H2408">
        <f>HYPERLINK("http://sofifa.com/en/fifa13winter/player/147781-helder-jorge-rodrigues-barbosa","Hélder Barbosa")</f>
        <v>Hélder Barbosa</v>
      </c>
      <c s="30" r="I2408">
        <v>75</v>
      </c>
      <c t="s" s="30" r="J2408">
        <v>128</v>
      </c>
      <c t="s" s="30" r="K2408">
        <v>130</v>
      </c>
      <c t="s" s="30" r="L2408">
        <v>163</v>
      </c>
      <c s="30" r="M2408">
        <v>25</v>
      </c>
      <c s="26" r="N2408">
        <v>4.3</v>
      </c>
      <c s="23" r="O2408">
        <v>0.013</v>
      </c>
      <c s="7" r="P2408"/>
      <c s="7" r="Q2408"/>
      <c s="7" r="R2408">
        <f>IF((P2408&gt;0),O2408,0)</f>
        <v>0</v>
      </c>
      <c t="str" r="S2408">
        <f>CONCATENATE(F2408,E2408)</f>
        <v>NON FTLNON FTL</v>
      </c>
    </row>
    <row r="2409">
      <c t="s" s="7" r="A2409">
        <v>201</v>
      </c>
      <c s="7" r="B2409">
        <v>2436</v>
      </c>
      <c s="30" r="C2409">
        <v>4</v>
      </c>
      <c t="s" s="30" r="D2409">
        <v>136</v>
      </c>
      <c t="s" s="30" r="E2409">
        <v>4</v>
      </c>
      <c t="s" s="30" r="F2409">
        <v>4</v>
      </c>
      <c t="s" s="30" r="G2409">
        <v>285</v>
      </c>
      <c t="str" s="12" r="H2409">
        <f>HYPERLINK("http://sofifa.com/en/fifa13winter/player/147278-nuno-andre-da-silva-coelho","Nuno André Coelho")</f>
        <v>Nuno André Coelho</v>
      </c>
      <c s="30" r="I2409">
        <v>72</v>
      </c>
      <c t="s" s="30" r="J2409">
        <v>113</v>
      </c>
      <c t="s" s="30" r="K2409">
        <v>165</v>
      </c>
      <c t="s" s="30" r="L2409">
        <v>193</v>
      </c>
      <c s="30" r="M2409">
        <v>26</v>
      </c>
      <c s="26" r="N2409">
        <v>2.5</v>
      </c>
      <c s="23" r="O2409">
        <v>0.009</v>
      </c>
      <c s="7" r="P2409"/>
      <c s="7" r="Q2409"/>
      <c s="7" r="R2409">
        <f>IF((P2409&gt;0),O2409,0)</f>
        <v>0</v>
      </c>
      <c t="str" r="S2409">
        <f>CONCATENATE(F2409,E2409)</f>
        <v>NON FTLNON FTL</v>
      </c>
    </row>
    <row r="2410">
      <c t="s" s="7" r="A2410">
        <v>201</v>
      </c>
      <c s="7" r="B2410">
        <v>2437</v>
      </c>
      <c s="30" r="C2410">
        <v>23</v>
      </c>
      <c t="s" s="30" r="D2410">
        <v>136</v>
      </c>
      <c t="s" s="30" r="E2410">
        <v>4</v>
      </c>
      <c t="s" s="30" r="F2410">
        <v>4</v>
      </c>
      <c t="s" s="30" r="G2410">
        <v>285</v>
      </c>
      <c t="str" s="12" r="H2410">
        <f>HYPERLINK("http://sofifa.com/en/fifa13winter/player/149065-cristiano-pereira-figueiredo","Cristiano")</f>
        <v>Cristiano</v>
      </c>
      <c s="30" r="I2410">
        <v>65</v>
      </c>
      <c t="s" s="30" r="J2410">
        <v>106</v>
      </c>
      <c t="s" s="30" r="K2410">
        <v>176</v>
      </c>
      <c t="s" s="30" r="L2410">
        <v>135</v>
      </c>
      <c s="30" r="M2410">
        <v>21</v>
      </c>
      <c s="26" r="N2410">
        <v>0.9</v>
      </c>
      <c s="23" r="O2410">
        <v>0.004</v>
      </c>
      <c s="7" r="P2410"/>
      <c s="7" r="Q2410"/>
      <c s="7" r="R2410">
        <f>IF((P2410&gt;0),O2410,0)</f>
        <v>0</v>
      </c>
      <c t="str" r="S2410">
        <f>CONCATENATE(F2410,E2410)</f>
        <v>NON FTLNON FTL</v>
      </c>
    </row>
    <row r="2411">
      <c t="s" s="7" r="A2411">
        <v>201</v>
      </c>
      <c s="7" r="B2411">
        <v>2438</v>
      </c>
      <c s="30" r="C2411">
        <v>29</v>
      </c>
      <c t="s" s="30" r="D2411">
        <v>136</v>
      </c>
      <c t="s" s="30" r="E2411">
        <v>4</v>
      </c>
      <c t="s" s="30" r="F2411">
        <v>4</v>
      </c>
      <c t="s" s="30" r="G2411">
        <v>285</v>
      </c>
      <c t="str" s="12" r="H2411">
        <f>HYPERLINK("http://sofifa.com/en/fifa13winter/player/149121-jose-luis-mendes-andrade","Zé Luís")</f>
        <v>Zé Luís</v>
      </c>
      <c s="30" r="I2411">
        <v>69</v>
      </c>
      <c t="s" s="30" r="J2411">
        <v>129</v>
      </c>
      <c t="s" s="30" r="K2411">
        <v>110</v>
      </c>
      <c t="s" s="30" r="L2411">
        <v>183</v>
      </c>
      <c s="30" r="M2411">
        <v>21</v>
      </c>
      <c s="26" r="N2411">
        <v>2.3</v>
      </c>
      <c s="23" r="O2411">
        <v>0.006</v>
      </c>
      <c s="7" r="P2411"/>
      <c s="7" r="Q2411"/>
      <c s="7" r="R2411">
        <f>IF((P2411&gt;0),O2411,0)</f>
        <v>0</v>
      </c>
      <c t="str" r="S2411">
        <f>CONCATENATE(F2411,E2411)</f>
        <v>NON FTLNON FTL</v>
      </c>
    </row>
    <row r="2412">
      <c t="s" s="7" r="A2412">
        <v>201</v>
      </c>
      <c s="7" r="B2412">
        <v>2439</v>
      </c>
      <c s="30" r="C2412">
        <v>3</v>
      </c>
      <c t="s" s="30" r="D2412">
        <v>136</v>
      </c>
      <c t="s" s="30" r="E2412">
        <v>4</v>
      </c>
      <c t="s" s="30" r="F2412">
        <v>4</v>
      </c>
      <c t="s" s="30" r="G2412">
        <v>285</v>
      </c>
      <c t="str" s="12" r="H2412">
        <f>HYPERLINK("http://sofifa.com/en/fifa13winter/player/147247-maximilian-haas","M. Haas")</f>
        <v>M. Haas</v>
      </c>
      <c s="30" r="I2412">
        <v>69</v>
      </c>
      <c t="s" s="30" r="J2412">
        <v>113</v>
      </c>
      <c t="s" s="30" r="K2412">
        <v>152</v>
      </c>
      <c t="s" s="30" r="L2412">
        <v>160</v>
      </c>
      <c s="30" r="M2412">
        <v>26</v>
      </c>
      <c s="26" r="N2412">
        <v>1.7</v>
      </c>
      <c s="23" r="O2412">
        <v>0.007</v>
      </c>
      <c s="7" r="P2412"/>
      <c s="7" r="Q2412"/>
      <c s="7" r="R2412">
        <f>IF((P2412&gt;0),O2412,0)</f>
        <v>0</v>
      </c>
      <c t="str" r="S2412">
        <f>CONCATENATE(F2412,E2412)</f>
        <v>NON FTLNON FTL</v>
      </c>
    </row>
    <row r="2413">
      <c t="s" s="7" r="A2413">
        <v>201</v>
      </c>
      <c s="7" r="B2413">
        <v>2440</v>
      </c>
      <c s="30" r="C2413">
        <v>83</v>
      </c>
      <c t="s" s="30" r="D2413">
        <v>136</v>
      </c>
      <c t="s" s="30" r="E2413">
        <v>4</v>
      </c>
      <c t="s" s="30" r="F2413">
        <v>4</v>
      </c>
      <c t="s" s="30" r="G2413">
        <v>285</v>
      </c>
      <c t="str" s="12" r="H2413">
        <f>HYPERLINK("http://sofifa.com/en/fifa13winter/player/147484-carlos-de-souza-silva","Carlão")</f>
        <v>Carlão</v>
      </c>
      <c s="30" r="I2413">
        <v>71</v>
      </c>
      <c t="s" s="30" r="J2413">
        <v>129</v>
      </c>
      <c t="s" s="30" r="K2413">
        <v>152</v>
      </c>
      <c t="s" s="30" r="L2413">
        <v>161</v>
      </c>
      <c s="30" r="M2413">
        <v>26</v>
      </c>
      <c s="26" r="N2413">
        <v>2.6</v>
      </c>
      <c s="23" r="O2413">
        <v>0.008</v>
      </c>
      <c s="7" r="P2413"/>
      <c s="7" r="Q2413"/>
      <c s="7" r="R2413">
        <f>IF((P2413&gt;0),O2413,0)</f>
        <v>0</v>
      </c>
      <c t="str" r="S2413">
        <f>CONCATENATE(F2413,E2413)</f>
        <v>NON FTLNON FTL</v>
      </c>
    </row>
    <row r="2414">
      <c t="s" s="7" r="A2414">
        <v>201</v>
      </c>
      <c s="7" r="B2414">
        <v>2441</v>
      </c>
      <c s="30" r="C2414">
        <v>5</v>
      </c>
      <c t="s" s="30" r="D2414">
        <v>136</v>
      </c>
      <c t="s" s="30" r="E2414">
        <v>4</v>
      </c>
      <c t="s" s="30" r="F2414">
        <v>4</v>
      </c>
      <c t="s" s="30" r="G2414">
        <v>285</v>
      </c>
      <c t="str" s="12" r="H2414">
        <f>HYPERLINK("http://sofifa.com/en/fifa13winter/player/146933-ruben-filipe-marques-amorim","Ruben Amorim")</f>
        <v>Ruben Amorim</v>
      </c>
      <c s="30" r="I2414">
        <v>74</v>
      </c>
      <c t="s" s="30" r="J2414">
        <v>124</v>
      </c>
      <c t="s" s="30" r="K2414">
        <v>114</v>
      </c>
      <c t="s" s="30" r="L2414">
        <v>161</v>
      </c>
      <c s="30" r="M2414">
        <v>27</v>
      </c>
      <c s="26" r="N2414">
        <v>3.2</v>
      </c>
      <c s="23" r="O2414">
        <v>0.011</v>
      </c>
      <c s="7" r="P2414"/>
      <c s="7" r="Q2414"/>
      <c s="7" r="R2414">
        <f>IF((P2414&gt;0),O2414,0)</f>
        <v>0</v>
      </c>
      <c t="str" r="S2414">
        <f>CONCATENATE(F2414,E2414)</f>
        <v>NON FTLNON FTL</v>
      </c>
    </row>
    <row r="2415">
      <c t="s" s="7" r="A2415">
        <v>201</v>
      </c>
      <c s="7" r="B2415">
        <v>2442</v>
      </c>
      <c s="30" r="C2415">
        <v>15</v>
      </c>
      <c t="s" s="30" r="D2415">
        <v>136</v>
      </c>
      <c t="s" s="30" r="E2415">
        <v>4</v>
      </c>
      <c t="s" s="30" r="F2415">
        <v>4</v>
      </c>
      <c t="s" s="30" r="G2415">
        <v>285</v>
      </c>
      <c t="str" s="12" r="H2415">
        <f>HYPERLINK("http://sofifa.com/en/fifa13winter/player/147690-wanderson-souza-carneiro","Baiano")</f>
        <v>Baiano</v>
      </c>
      <c s="30" r="I2415">
        <v>72</v>
      </c>
      <c t="s" s="30" r="J2415">
        <v>109</v>
      </c>
      <c t="s" s="30" r="K2415">
        <v>159</v>
      </c>
      <c t="s" s="30" r="L2415">
        <v>111</v>
      </c>
      <c s="30" r="M2415">
        <v>25</v>
      </c>
      <c s="26" r="N2415">
        <v>2.5</v>
      </c>
      <c s="23" r="O2415">
        <v>0.009</v>
      </c>
      <c s="7" r="P2415"/>
      <c s="7" r="Q2415"/>
      <c s="7" r="R2415">
        <f>IF((P2415&gt;0),O2415,0)</f>
        <v>0</v>
      </c>
      <c t="str" r="S2415">
        <f>CONCATENATE(F2415,E2415)</f>
        <v>NON FTLNON FTL</v>
      </c>
    </row>
    <row r="2416">
      <c t="s" s="7" r="A2416">
        <v>201</v>
      </c>
      <c s="7" r="B2416">
        <v>2443</v>
      </c>
      <c s="30" r="C2416">
        <v>19</v>
      </c>
      <c t="s" s="30" r="D2416">
        <v>136</v>
      </c>
      <c t="s" s="30" r="E2416">
        <v>4</v>
      </c>
      <c t="s" s="30" r="F2416">
        <v>4</v>
      </c>
      <c t="s" s="30" r="G2416">
        <v>285</v>
      </c>
      <c t="str" s="12" r="H2416">
        <f>HYPERLINK("http://sofifa.com/en/fifa13winter/player/148573-tiago-andre-coelho-lopes","Rabiola")</f>
        <v>Rabiola</v>
      </c>
      <c s="30" r="I2416">
        <v>69</v>
      </c>
      <c t="s" s="30" r="J2416">
        <v>129</v>
      </c>
      <c t="s" s="30" r="K2416">
        <v>143</v>
      </c>
      <c t="s" s="30" r="L2416">
        <v>146</v>
      </c>
      <c s="30" r="M2416">
        <v>23</v>
      </c>
      <c s="26" r="N2416">
        <v>2.2</v>
      </c>
      <c s="23" r="O2416">
        <v>0.006</v>
      </c>
      <c s="7" r="P2416"/>
      <c s="7" r="Q2416"/>
      <c s="7" r="R2416">
        <f>IF((P2416&gt;0),O2416,0)</f>
        <v>0</v>
      </c>
      <c t="str" r="S2416">
        <f>CONCATENATE(F2416,E2416)</f>
        <v>NON FTLNON FTL</v>
      </c>
    </row>
    <row r="2417">
      <c t="s" s="7" r="A2417">
        <v>201</v>
      </c>
      <c s="7" r="B2417">
        <v>2444</v>
      </c>
      <c s="30" r="C2417">
        <v>22</v>
      </c>
      <c t="s" s="30" r="D2417">
        <v>136</v>
      </c>
      <c t="s" s="30" r="E2417">
        <v>4</v>
      </c>
      <c t="s" s="30" r="F2417">
        <v>4</v>
      </c>
      <c t="s" s="30" r="G2417">
        <v>285</v>
      </c>
      <c t="str" s="12" r="H2417">
        <f>HYPERLINK("http://sofifa.com/en/fifa13winter/player/146291-djamal-mahamat","Djamal")</f>
        <v>Djamal</v>
      </c>
      <c s="30" r="I2417">
        <v>71</v>
      </c>
      <c t="s" s="30" r="J2417">
        <v>154</v>
      </c>
      <c t="s" s="30" r="K2417">
        <v>134</v>
      </c>
      <c t="s" s="30" r="L2417">
        <v>161</v>
      </c>
      <c s="30" r="M2417">
        <v>29</v>
      </c>
      <c s="26" r="N2417">
        <v>1.9</v>
      </c>
      <c s="23" r="O2417">
        <v>0.008</v>
      </c>
      <c s="7" r="P2417"/>
      <c s="7" r="Q2417"/>
      <c s="7" r="R2417">
        <f>IF((P2417&gt;0),O2417,0)</f>
        <v>0</v>
      </c>
      <c t="str" r="S2417">
        <f>CONCATENATE(F2417,E2417)</f>
        <v>NON FTLNON FTL</v>
      </c>
    </row>
    <row r="2418">
      <c t="s" s="7" r="A2418">
        <v>201</v>
      </c>
      <c s="7" r="B2418">
        <v>2445</v>
      </c>
      <c s="30" r="C2418">
        <v>44</v>
      </c>
      <c t="s" s="30" r="D2418">
        <v>136</v>
      </c>
      <c t="s" s="30" r="E2418">
        <v>4</v>
      </c>
      <c t="s" s="30" r="F2418">
        <v>4</v>
      </c>
      <c t="s" s="30" r="G2418">
        <v>285</v>
      </c>
      <c t="str" s="12" r="H2418">
        <f>HYPERLINK("http://sofifa.com/en/fifa13winter/player/147409-douglas-ferreira","Douglão")</f>
        <v>Douglão</v>
      </c>
      <c s="30" r="I2418">
        <v>73</v>
      </c>
      <c t="s" s="30" r="J2418">
        <v>113</v>
      </c>
      <c t="s" s="30" r="K2418">
        <v>107</v>
      </c>
      <c t="s" s="30" r="L2418">
        <v>156</v>
      </c>
      <c s="30" r="M2418">
        <v>26</v>
      </c>
      <c s="26" r="N2418">
        <v>2.9</v>
      </c>
      <c s="23" r="O2418">
        <v>0.01</v>
      </c>
      <c s="7" r="P2418"/>
      <c s="7" r="Q2418"/>
      <c s="7" r="R2418">
        <f>IF((P2418&gt;0),O2418,0)</f>
        <v>0</v>
      </c>
      <c t="str" r="S2418">
        <f>CONCATENATE(F2418,E2418)</f>
        <v>NON FTLNON FTL</v>
      </c>
    </row>
    <row r="2419">
      <c t="s" s="7" r="A2419">
        <v>201</v>
      </c>
      <c s="7" r="B2419">
        <v>2446</v>
      </c>
      <c s="30" r="C2419">
        <v>8</v>
      </c>
      <c t="s" s="30" r="D2419">
        <v>136</v>
      </c>
      <c t="s" s="30" r="E2419">
        <v>4</v>
      </c>
      <c t="s" s="30" r="F2419">
        <v>4</v>
      </c>
      <c t="s" s="30" r="G2419">
        <v>285</v>
      </c>
      <c t="str" s="12" r="H2419">
        <f>HYPERLINK("http://sofifa.com/en/fifa13winter/player/146360-jose-marcio-da-costa","Mossoró")</f>
        <v>Mossoró</v>
      </c>
      <c s="30" r="I2419">
        <v>78</v>
      </c>
      <c t="s" s="30" r="J2419">
        <v>162</v>
      </c>
      <c t="s" s="30" r="K2419">
        <v>121</v>
      </c>
      <c t="s" s="30" r="L2419">
        <v>163</v>
      </c>
      <c s="30" r="M2419">
        <v>29</v>
      </c>
      <c s="26" r="N2419">
        <v>6.6</v>
      </c>
      <c s="23" r="O2419">
        <v>0.02</v>
      </c>
      <c s="7" r="P2419"/>
      <c s="7" r="Q2419"/>
      <c s="7" r="R2419">
        <f>IF((P2419&gt;0),O2419,0)</f>
        <v>0</v>
      </c>
      <c t="str" r="S2419">
        <f>CONCATENATE(F2419,E2419)</f>
        <v>NON FTLNON FTL</v>
      </c>
    </row>
    <row r="2420">
      <c t="s" s="7" r="A2420">
        <v>201</v>
      </c>
      <c s="7" r="B2420">
        <v>2447</v>
      </c>
      <c s="30" r="C2420">
        <v>2</v>
      </c>
      <c t="s" s="30" r="D2420">
        <v>136</v>
      </c>
      <c t="s" s="30" r="E2420">
        <v>4</v>
      </c>
      <c t="s" s="30" r="F2420">
        <v>4</v>
      </c>
      <c t="s" s="30" r="G2420">
        <v>285</v>
      </c>
      <c t="str" s="12" r="H2420">
        <f>HYPERLINK("http://sofifa.com/en/fifa13winter/player/149144-vincent-sasso","V. Sasso")</f>
        <v>V. Sasso</v>
      </c>
      <c s="30" r="I2420">
        <v>69</v>
      </c>
      <c t="s" s="30" r="J2420">
        <v>113</v>
      </c>
      <c t="s" s="30" r="K2420">
        <v>152</v>
      </c>
      <c t="s" s="30" r="L2420">
        <v>108</v>
      </c>
      <c s="30" r="M2420">
        <v>21</v>
      </c>
      <c s="26" r="N2420">
        <v>1.9</v>
      </c>
      <c s="23" r="O2420">
        <v>0.006</v>
      </c>
      <c s="7" r="P2420"/>
      <c s="7" r="Q2420"/>
      <c s="7" r="R2420">
        <f>IF((P2420&gt;0),O2420,0)</f>
        <v>0</v>
      </c>
      <c t="str" r="S2420">
        <f>CONCATENATE(F2420,E2420)</f>
        <v>NON FTLNON FTL</v>
      </c>
    </row>
    <row r="2421">
      <c t="s" s="7" r="A2421">
        <v>201</v>
      </c>
      <c s="7" r="B2421">
        <v>2448</v>
      </c>
      <c s="30" r="C2421">
        <v>40</v>
      </c>
      <c t="s" s="30" r="D2421">
        <v>147</v>
      </c>
      <c t="s" s="30" r="E2421">
        <v>4</v>
      </c>
      <c t="s" s="30" r="F2421">
        <v>4</v>
      </c>
      <c t="s" s="30" r="G2421">
        <v>285</v>
      </c>
      <c t="str" s="12" r="H2421">
        <f>HYPERLINK("http://sofifa.com/en/fifa13winter/player/149238-guilherme-costa-marques","Guilherme")</f>
        <v>Guilherme</v>
      </c>
      <c s="30" r="I2421">
        <v>65</v>
      </c>
      <c t="s" s="30" r="J2421">
        <v>162</v>
      </c>
      <c t="s" s="30" r="K2421">
        <v>182</v>
      </c>
      <c t="s" s="30" r="L2421">
        <v>122</v>
      </c>
      <c s="30" r="M2421">
        <v>21</v>
      </c>
      <c s="26" r="N2421">
        <v>1.2</v>
      </c>
      <c s="23" r="O2421">
        <v>0.004</v>
      </c>
      <c s="7" r="P2421"/>
      <c s="7" r="Q2421"/>
      <c s="7" r="R2421">
        <f>IF((P2421&gt;0),O2421,0)</f>
        <v>0</v>
      </c>
      <c t="str" r="S2421">
        <f>CONCATENATE(F2421,E2421)</f>
        <v>NON FTLNON FTL</v>
      </c>
    </row>
    <row r="2422">
      <c t="s" s="7" r="A2422">
        <v>201</v>
      </c>
      <c s="7" r="B2422">
        <v>2449</v>
      </c>
      <c s="30" r="C2422">
        <v>6</v>
      </c>
      <c t="s" s="30" r="D2422">
        <v>147</v>
      </c>
      <c t="s" s="30" r="E2422">
        <v>4</v>
      </c>
      <c t="s" s="30" r="F2422">
        <v>4</v>
      </c>
      <c t="s" s="30" r="G2422">
        <v>285</v>
      </c>
      <c t="str" s="12" r="H2422">
        <f>HYPERLINK("http://sofifa.com/en/fifa13winter/player/147295-emidio-rafael-augusto-silva","Emidio Rafael")</f>
        <v>Emidio Rafael</v>
      </c>
      <c s="30" r="I2422">
        <v>66</v>
      </c>
      <c t="s" s="30" r="J2422">
        <v>117</v>
      </c>
      <c t="s" s="30" r="K2422">
        <v>143</v>
      </c>
      <c t="s" s="30" r="L2422">
        <v>160</v>
      </c>
      <c s="30" r="M2422">
        <v>26</v>
      </c>
      <c s="26" r="N2422">
        <v>1.1</v>
      </c>
      <c s="23" r="O2422">
        <v>0.005</v>
      </c>
      <c s="7" r="P2422"/>
      <c s="7" r="Q2422"/>
      <c s="7" r="R2422">
        <f>IF((P2422&gt;0),O2422,0)</f>
        <v>0</v>
      </c>
      <c t="str" r="S2422">
        <f>CONCATENATE(F2422,E2422)</f>
        <v>NON FTLNON FTL</v>
      </c>
    </row>
    <row r="2423">
      <c t="s" s="7" r="A2423">
        <v>201</v>
      </c>
      <c s="7" r="B2423">
        <v>2450</v>
      </c>
      <c s="30" r="C2423">
        <v>7</v>
      </c>
      <c t="s" s="30" r="D2423">
        <v>147</v>
      </c>
      <c t="s" s="30" r="E2423">
        <v>4</v>
      </c>
      <c t="s" s="30" r="F2423">
        <v>4</v>
      </c>
      <c t="s" s="30" r="G2423">
        <v>285</v>
      </c>
      <c t="str" s="12" r="H2423">
        <f>HYPERLINK("http://sofifa.com/en/fifa13winter/player/147365-joao-pedro-guerra-cunha","João Pedro")</f>
        <v>João Pedro</v>
      </c>
      <c s="30" r="I2423">
        <v>70</v>
      </c>
      <c t="s" s="30" r="J2423">
        <v>128</v>
      </c>
      <c t="s" s="30" r="K2423">
        <v>182</v>
      </c>
      <c t="s" s="30" r="L2423">
        <v>146</v>
      </c>
      <c s="30" r="M2423">
        <v>26</v>
      </c>
      <c s="26" r="N2423">
        <v>1.9</v>
      </c>
      <c s="23" r="O2423">
        <v>0.007</v>
      </c>
      <c s="7" r="P2423"/>
      <c s="7" r="Q2423"/>
      <c s="7" r="R2423">
        <f>IF((P2423&gt;0),O2423,0)</f>
        <v>0</v>
      </c>
      <c t="str" r="S2423">
        <f>CONCATENATE(F2423,E2423)</f>
        <v>NON FTLNON FTL</v>
      </c>
    </row>
    <row r="2424">
      <c t="s" s="7" r="A2424">
        <v>201</v>
      </c>
      <c s="7" r="B2424">
        <v>2451</v>
      </c>
      <c s="30" r="C2424">
        <v>99</v>
      </c>
      <c t="s" s="30" r="D2424">
        <v>147</v>
      </c>
      <c t="s" s="30" r="E2424">
        <v>4</v>
      </c>
      <c t="s" s="30" r="F2424">
        <v>4</v>
      </c>
      <c t="s" s="30" r="G2424">
        <v>285</v>
      </c>
      <c t="str" s="12" r="H2424">
        <f>HYPERLINK("http://sofifa.com/en/fifa13winter/player/148399-manoel-c-ribeiro-lemes","Manoel")</f>
        <v>Manoel</v>
      </c>
      <c s="30" r="I2424">
        <v>66</v>
      </c>
      <c t="s" s="30" r="J2424">
        <v>129</v>
      </c>
      <c t="s" s="30" r="K2424">
        <v>132</v>
      </c>
      <c t="s" s="30" r="L2424">
        <v>151</v>
      </c>
      <c s="30" r="M2424">
        <v>23</v>
      </c>
      <c s="26" r="N2424">
        <v>1.4</v>
      </c>
      <c s="23" r="O2424">
        <v>0.005</v>
      </c>
      <c s="7" r="P2424"/>
      <c s="7" r="Q2424"/>
      <c s="7" r="R2424">
        <f>IF((P2424&gt;0),O2424,0)</f>
        <v>0</v>
      </c>
      <c t="str" r="S2424">
        <f>CONCATENATE(F2424,E2424)</f>
        <v>NON FTLNON FTL</v>
      </c>
    </row>
    <row r="2425">
      <c t="s" s="7" r="A2425">
        <v>201</v>
      </c>
      <c s="7" r="B2425">
        <v>2452</v>
      </c>
      <c s="30" r="C2425">
        <v>79</v>
      </c>
      <c t="s" s="30" r="D2425">
        <v>147</v>
      </c>
      <c t="s" s="30" r="E2425">
        <v>4</v>
      </c>
      <c t="s" s="30" r="F2425">
        <v>4</v>
      </c>
      <c t="s" s="30" r="G2425">
        <v>285</v>
      </c>
      <c t="str" s="12" r="H2425">
        <f>HYPERLINK("http://sofifa.com/en/fifa13winter/player/149832-carlos-eduardo-manso-de-carvalho","Carlos Eduardo")</f>
        <v>Carlos Eduardo</v>
      </c>
      <c s="30" r="I2425">
        <v>62</v>
      </c>
      <c t="s" s="30" r="J2425">
        <v>124</v>
      </c>
      <c t="s" s="30" r="K2425">
        <v>118</v>
      </c>
      <c t="s" s="30" r="L2425">
        <v>122</v>
      </c>
      <c s="30" r="M2425">
        <v>19</v>
      </c>
      <c s="26" r="N2425">
        <v>0.8</v>
      </c>
      <c s="23" r="O2425">
        <v>0.003</v>
      </c>
      <c s="7" r="P2425"/>
      <c s="7" r="Q2425"/>
      <c s="7" r="R2425">
        <f>IF((P2425&gt;0),O2425,0)</f>
        <v>0</v>
      </c>
      <c t="str" r="S2425">
        <f>CONCATENATE(F2425,E2425)</f>
        <v>NON FTLNON FTL</v>
      </c>
    </row>
    <row r="2426">
      <c t="s" s="7" r="A2426">
        <v>201</v>
      </c>
      <c s="7" r="B2426">
        <v>2453</v>
      </c>
      <c s="30" r="C2426">
        <v>24</v>
      </c>
      <c t="s" s="30" r="D2426">
        <v>147</v>
      </c>
      <c t="s" s="30" r="E2426">
        <v>4</v>
      </c>
      <c t="s" s="30" r="F2426">
        <v>4</v>
      </c>
      <c t="s" s="30" r="G2426">
        <v>285</v>
      </c>
      <c t="str" s="12" r="H2426">
        <f>HYPERLINK("http://sofifa.com/en/fifa13winter/player/149067-stanislav-kritsyuk","S. Kritsyuk")</f>
        <v>S. Kritsyuk</v>
      </c>
      <c s="30" r="I2426">
        <v>63</v>
      </c>
      <c t="s" s="30" r="J2426">
        <v>106</v>
      </c>
      <c t="s" s="30" r="K2426">
        <v>165</v>
      </c>
      <c t="s" s="30" r="L2426">
        <v>153</v>
      </c>
      <c s="30" r="M2426">
        <v>21</v>
      </c>
      <c s="26" r="N2426">
        <v>0.7</v>
      </c>
      <c s="23" r="O2426">
        <v>0.004</v>
      </c>
      <c s="7" r="P2426"/>
      <c s="7" r="Q2426"/>
      <c s="7" r="R2426">
        <f>IF((P2426&gt;0),O2426,0)</f>
        <v>0</v>
      </c>
      <c t="str" r="S2426">
        <f>CONCATENATE(F2426,E2426)</f>
        <v>NON FTLNON FTL</v>
      </c>
    </row>
    <row r="2427">
      <c t="s" s="7" r="A2427">
        <v>201</v>
      </c>
      <c s="7" r="B2427">
        <v>2454</v>
      </c>
      <c s="30" r="C2427">
        <v>63</v>
      </c>
      <c t="s" s="30" r="D2427">
        <v>147</v>
      </c>
      <c t="s" s="30" r="E2427">
        <v>4</v>
      </c>
      <c t="s" s="30" r="F2427">
        <v>4</v>
      </c>
      <c t="s" s="30" r="G2427">
        <v>285</v>
      </c>
      <c t="str" s="12" r="H2427">
        <f>HYPERLINK("http://sofifa.com/en/fifa13winter/player/149036-mauro-silva-sousa","Mauro")</f>
        <v>Mauro</v>
      </c>
      <c s="30" r="I2427">
        <v>65</v>
      </c>
      <c t="s" s="30" r="J2427">
        <v>154</v>
      </c>
      <c t="s" s="30" r="K2427">
        <v>118</v>
      </c>
      <c t="s" s="30" r="L2427">
        <v>119</v>
      </c>
      <c s="30" r="M2427">
        <v>21</v>
      </c>
      <c s="26" r="N2427">
        <v>1</v>
      </c>
      <c s="23" r="O2427">
        <v>0.004</v>
      </c>
      <c s="7" r="P2427"/>
      <c s="7" r="Q2427"/>
      <c s="7" r="R2427">
        <f>IF((P2427&gt;0),O2427,0)</f>
        <v>0</v>
      </c>
      <c t="str" r="S2427">
        <f>CONCATENATE(F2427,E2427)</f>
        <v>NON FTLNON FTL</v>
      </c>
    </row>
    <row r="2428">
      <c t="s" s="7" r="A2428">
        <v>201</v>
      </c>
      <c s="7" r="B2428">
        <v>2455</v>
      </c>
      <c s="30" r="C2428">
        <v>21</v>
      </c>
      <c t="s" s="30" r="D2428">
        <v>106</v>
      </c>
      <c t="s" s="30" r="E2428">
        <v>4</v>
      </c>
      <c t="s" s="30" r="F2428">
        <v>4</v>
      </c>
      <c t="s" s="30" r="G2428">
        <v>286</v>
      </c>
      <c t="str" s="12" r="H2428">
        <f>HYPERLINK("http://sofifa.com/en/fifa13winter/player/146564-boy-waterman","B. Waterman")</f>
        <v>B. Waterman</v>
      </c>
      <c s="30" r="I2428">
        <v>70</v>
      </c>
      <c t="s" s="30" r="J2428">
        <v>106</v>
      </c>
      <c t="s" s="30" r="K2428">
        <v>134</v>
      </c>
      <c t="s" s="30" r="L2428">
        <v>177</v>
      </c>
      <c s="30" r="M2428">
        <v>28</v>
      </c>
      <c s="26" r="N2428">
        <v>1.4</v>
      </c>
      <c s="23" r="O2428">
        <v>0.007</v>
      </c>
      <c s="7" r="P2428"/>
      <c s="7" r="Q2428"/>
      <c s="7" r="R2428">
        <f>IF((P2428&gt;0),O2428,0)</f>
        <v>0</v>
      </c>
      <c t="str" r="S2428">
        <f>CONCATENATE(F2428,E2428)</f>
        <v>NON FTLNON FTL</v>
      </c>
    </row>
    <row r="2429">
      <c t="s" s="7" r="A2429">
        <v>201</v>
      </c>
      <c s="7" r="B2429">
        <v>2456</v>
      </c>
      <c s="30" r="C2429">
        <v>13</v>
      </c>
      <c t="s" s="30" r="D2429">
        <v>109</v>
      </c>
      <c t="s" s="30" r="E2429">
        <v>4</v>
      </c>
      <c t="s" s="30" r="F2429">
        <v>4</v>
      </c>
      <c t="s" s="30" r="G2429">
        <v>286</v>
      </c>
      <c t="str" s="12" r="H2429">
        <f>HYPERLINK("http://sofifa.com/en/fifa13winter/player/146214-atiba-hutchinson","A. Hutchinson")</f>
        <v>A. Hutchinson</v>
      </c>
      <c s="30" r="I2429">
        <v>71</v>
      </c>
      <c t="s" s="30" r="J2429">
        <v>109</v>
      </c>
      <c t="s" s="30" r="K2429">
        <v>167</v>
      </c>
      <c t="s" s="30" r="L2429">
        <v>146</v>
      </c>
      <c s="30" r="M2429">
        <v>29</v>
      </c>
      <c s="26" r="N2429">
        <v>1.9</v>
      </c>
      <c s="23" r="O2429">
        <v>0.008</v>
      </c>
      <c s="7" r="P2429"/>
      <c s="7" r="Q2429"/>
      <c s="7" r="R2429">
        <f>IF((P2429&gt;0),O2429,0)</f>
        <v>0</v>
      </c>
      <c t="str" r="S2429">
        <f>CONCATENATE(F2429,E2429)</f>
        <v>NON FTLNON FTL</v>
      </c>
    </row>
    <row r="2430">
      <c t="s" s="7" r="A2430">
        <v>201</v>
      </c>
      <c s="7" r="B2430">
        <v>2457</v>
      </c>
      <c s="30" r="C2430">
        <v>4</v>
      </c>
      <c t="s" s="30" r="D2430">
        <v>112</v>
      </c>
      <c t="s" s="30" r="E2430">
        <v>4</v>
      </c>
      <c t="s" s="30" r="F2430">
        <v>4</v>
      </c>
      <c t="s" s="30" r="G2430">
        <v>286</v>
      </c>
      <c t="str" s="12" r="H2430">
        <f>HYPERLINK("http://sofifa.com/en/fifa13winter/player/147776-marcelo-antonio-guedes-filho","Marcelo")</f>
        <v>Marcelo</v>
      </c>
      <c s="30" r="I2430">
        <v>72</v>
      </c>
      <c t="s" s="30" r="J2430">
        <v>113</v>
      </c>
      <c t="s" s="30" r="K2430">
        <v>144</v>
      </c>
      <c t="s" s="30" r="L2430">
        <v>175</v>
      </c>
      <c s="30" r="M2430">
        <v>25</v>
      </c>
      <c s="26" r="N2430">
        <v>2.7</v>
      </c>
      <c s="23" r="O2430">
        <v>0.009</v>
      </c>
      <c s="7" r="P2430"/>
      <c s="7" r="Q2430"/>
      <c s="7" r="R2430">
        <f>IF((P2430&gt;0),O2430,0)</f>
        <v>0</v>
      </c>
      <c t="str" r="S2430">
        <f>CONCATENATE(F2430,E2430)</f>
        <v>NON FTLNON FTL</v>
      </c>
    </row>
    <row r="2431">
      <c t="s" s="7" r="A2431">
        <v>201</v>
      </c>
      <c s="7" r="B2431">
        <v>2458</v>
      </c>
      <c s="30" r="C2431">
        <v>3</v>
      </c>
      <c t="s" s="30" r="D2431">
        <v>116</v>
      </c>
      <c t="s" s="30" r="E2431">
        <v>4</v>
      </c>
      <c t="s" s="30" r="F2431">
        <v>4</v>
      </c>
      <c t="s" s="30" r="G2431">
        <v>286</v>
      </c>
      <c t="str" s="12" r="H2431">
        <f>HYPERLINK("http://sofifa.com/en/fifa13winter/player/144515-wilfred-bouma","W. Bouma")</f>
        <v>W. Bouma</v>
      </c>
      <c s="30" r="I2431">
        <v>71</v>
      </c>
      <c t="s" s="30" r="J2431">
        <v>113</v>
      </c>
      <c t="s" s="30" r="K2431">
        <v>145</v>
      </c>
      <c t="s" s="30" r="L2431">
        <v>175</v>
      </c>
      <c s="30" r="M2431">
        <v>34</v>
      </c>
      <c s="26" r="N2431">
        <v>1.4</v>
      </c>
      <c s="23" r="O2431">
        <v>0.01</v>
      </c>
      <c s="7" r="P2431"/>
      <c s="7" r="Q2431"/>
      <c s="7" r="R2431">
        <f>IF((P2431&gt;0),O2431,0)</f>
        <v>0</v>
      </c>
      <c t="str" r="S2431">
        <f>CONCATENATE(F2431,E2431)</f>
        <v>NON FTLNON FTL</v>
      </c>
    </row>
    <row r="2432">
      <c t="s" s="7" r="A2432">
        <v>201</v>
      </c>
      <c s="7" r="B2432">
        <v>2459</v>
      </c>
      <c s="30" r="C2432">
        <v>15</v>
      </c>
      <c t="s" s="30" r="D2432">
        <v>117</v>
      </c>
      <c t="s" s="30" r="E2432">
        <v>4</v>
      </c>
      <c t="s" s="30" r="F2432">
        <v>4</v>
      </c>
      <c t="s" s="30" r="G2432">
        <v>286</v>
      </c>
      <c t="str" s="12" r="H2432">
        <f>HYPERLINK("http://sofifa.com/en/fifa13winter/player/150282-jetro-willems","J. Willems")</f>
        <v>J. Willems</v>
      </c>
      <c s="30" r="I2432">
        <v>71</v>
      </c>
      <c t="s" s="30" r="J2432">
        <v>117</v>
      </c>
      <c t="s" s="30" r="K2432">
        <v>205</v>
      </c>
      <c t="s" s="30" r="L2432">
        <v>119</v>
      </c>
      <c s="30" r="M2432">
        <v>18</v>
      </c>
      <c s="26" r="N2432">
        <v>2.4</v>
      </c>
      <c s="23" r="O2432">
        <v>0.006</v>
      </c>
      <c s="7" r="P2432"/>
      <c s="7" r="Q2432"/>
      <c s="7" r="R2432">
        <f>IF((P2432&gt;0),O2432,0)</f>
        <v>0</v>
      </c>
      <c t="str" r="S2432">
        <f>CONCATENATE(F2432,E2432)</f>
        <v>NON FTLNON FTL</v>
      </c>
    </row>
    <row r="2433">
      <c t="s" s="7" r="A2433">
        <v>201</v>
      </c>
      <c s="7" r="B2433">
        <v>2460</v>
      </c>
      <c s="30" r="C2433">
        <v>27</v>
      </c>
      <c t="s" s="30" r="D2433">
        <v>123</v>
      </c>
      <c t="s" s="30" r="E2433">
        <v>4</v>
      </c>
      <c t="s" s="30" r="F2433">
        <v>4</v>
      </c>
      <c t="s" s="30" r="G2433">
        <v>286</v>
      </c>
      <c t="str" s="12" r="H2433">
        <f>HYPERLINK("http://sofifa.com/en/fifa13winter/player/149642-oscar-hiljemark","O. Hiljemark")</f>
        <v>O. Hiljemark</v>
      </c>
      <c s="30" r="I2433">
        <v>70</v>
      </c>
      <c t="s" s="30" r="J2433">
        <v>124</v>
      </c>
      <c t="s" s="30" r="K2433">
        <v>110</v>
      </c>
      <c t="s" s="30" r="L2433">
        <v>161</v>
      </c>
      <c s="30" r="M2433">
        <v>20</v>
      </c>
      <c s="26" r="N2433">
        <v>2.2</v>
      </c>
      <c s="23" r="O2433">
        <v>0.006</v>
      </c>
      <c s="7" r="P2433"/>
      <c s="7" r="Q2433"/>
      <c s="7" r="R2433">
        <f>IF((P2433&gt;0),O2433,0)</f>
        <v>0</v>
      </c>
      <c t="str" r="S2433">
        <f>CONCATENATE(F2433,E2433)</f>
        <v>NON FTLNON FTL</v>
      </c>
    </row>
    <row r="2434">
      <c t="s" s="7" r="A2434">
        <v>201</v>
      </c>
      <c s="7" r="B2434">
        <v>2461</v>
      </c>
      <c s="30" r="C2434">
        <v>8</v>
      </c>
      <c t="s" s="30" r="D2434">
        <v>126</v>
      </c>
      <c t="s" s="30" r="E2434">
        <v>4</v>
      </c>
      <c t="s" s="30" r="F2434">
        <v>4</v>
      </c>
      <c t="s" s="30" r="G2434">
        <v>286</v>
      </c>
      <c t="str" s="12" r="H2434">
        <f>HYPERLINK("http://sofifa.com/en/fifa13winter/player/148776-kevin-strootman","K. Strootman")</f>
        <v>K. Strootman</v>
      </c>
      <c s="30" r="I2434">
        <v>80</v>
      </c>
      <c t="s" s="30" r="J2434">
        <v>124</v>
      </c>
      <c t="s" s="30" r="K2434">
        <v>173</v>
      </c>
      <c t="s" s="30" r="L2434">
        <v>193</v>
      </c>
      <c s="30" r="M2434">
        <v>22</v>
      </c>
      <c s="26" r="N2434">
        <v>11</v>
      </c>
      <c s="23" r="O2434">
        <v>0.028</v>
      </c>
      <c s="7" r="P2434"/>
      <c s="7" r="Q2434"/>
      <c s="7" r="R2434">
        <f>IF((P2434&gt;0),O2434,0)</f>
        <v>0</v>
      </c>
      <c t="str" r="S2434">
        <f>CONCATENATE(F2434,E2434)</f>
        <v>NON FTLNON FTL</v>
      </c>
    </row>
    <row r="2435">
      <c t="s" s="7" r="A2435">
        <v>201</v>
      </c>
      <c s="7" r="B2435">
        <v>2462</v>
      </c>
      <c s="30" r="C2435">
        <v>7</v>
      </c>
      <c t="s" s="30" r="D2435">
        <v>162</v>
      </c>
      <c t="s" s="30" r="E2435">
        <v>4</v>
      </c>
      <c t="s" s="30" r="F2435">
        <v>4</v>
      </c>
      <c t="s" s="30" r="G2435">
        <v>286</v>
      </c>
      <c t="str" s="12" r="H2435">
        <f>HYPERLINK("http://sofifa.com/en/fifa13winter/player/147455-ola-toivonen","O. Toivonen")</f>
        <v>O. Toivonen</v>
      </c>
      <c s="30" r="I2435">
        <v>77</v>
      </c>
      <c t="s" s="30" r="J2435">
        <v>162</v>
      </c>
      <c t="s" s="30" r="K2435">
        <v>165</v>
      </c>
      <c t="s" s="30" r="L2435">
        <v>161</v>
      </c>
      <c s="30" r="M2435">
        <v>26</v>
      </c>
      <c s="26" r="N2435">
        <v>7</v>
      </c>
      <c s="23" r="O2435">
        <v>0.017</v>
      </c>
      <c s="7" r="P2435"/>
      <c s="7" r="Q2435"/>
      <c s="7" r="R2435">
        <f>IF((P2435&gt;0),O2435,0)</f>
        <v>0</v>
      </c>
      <c t="str" r="S2435">
        <f>CONCATENATE(F2435,E2435)</f>
        <v>NON FTLNON FTL</v>
      </c>
    </row>
    <row r="2436">
      <c t="s" s="7" r="A2436">
        <v>201</v>
      </c>
      <c s="7" r="B2436">
        <v>2463</v>
      </c>
      <c s="30" r="C2436">
        <v>11</v>
      </c>
      <c t="s" s="30" r="D2436">
        <v>157</v>
      </c>
      <c t="s" s="30" r="E2436">
        <v>4</v>
      </c>
      <c t="s" s="30" r="F2436">
        <v>4</v>
      </c>
      <c t="s" s="30" r="G2436">
        <v>286</v>
      </c>
      <c t="str" s="12" r="H2436">
        <f>HYPERLINK("http://sofifa.com/en/fifa13winter/player/147964-jeremain-lens","J. Lens")</f>
        <v>J. Lens</v>
      </c>
      <c s="30" r="I2436">
        <v>78</v>
      </c>
      <c t="s" s="30" r="J2436">
        <v>157</v>
      </c>
      <c t="s" s="30" r="K2436">
        <v>172</v>
      </c>
      <c t="s" s="30" r="L2436">
        <v>108</v>
      </c>
      <c s="30" r="M2436">
        <v>24</v>
      </c>
      <c s="26" r="N2436">
        <v>7.2</v>
      </c>
      <c s="23" r="O2436">
        <v>0.019</v>
      </c>
      <c s="7" r="P2436"/>
      <c s="7" r="Q2436"/>
      <c s="7" r="R2436">
        <f>IF((P2436&gt;0),O2436,0)</f>
        <v>0</v>
      </c>
      <c t="str" r="S2436">
        <f>CONCATENATE(F2436,E2436)</f>
        <v>NON FTLNON FTL</v>
      </c>
    </row>
    <row r="2437">
      <c t="s" s="7" r="A2437">
        <v>201</v>
      </c>
      <c s="7" r="B2437">
        <v>2464</v>
      </c>
      <c s="30" r="C2437">
        <v>9</v>
      </c>
      <c t="s" s="30" r="D2437">
        <v>129</v>
      </c>
      <c t="s" s="30" r="E2437">
        <v>4</v>
      </c>
      <c t="s" s="30" r="F2437">
        <v>4</v>
      </c>
      <c t="s" s="30" r="G2437">
        <v>286</v>
      </c>
      <c t="str" s="12" r="H2437">
        <f>HYPERLINK("http://sofifa.com/en/fifa13winter/player/148380-tim-matavz","T. Matavž")</f>
        <v>T. Matavž</v>
      </c>
      <c s="30" r="I2437">
        <v>74</v>
      </c>
      <c t="s" s="30" r="J2437">
        <v>129</v>
      </c>
      <c t="s" s="30" r="K2437">
        <v>134</v>
      </c>
      <c t="s" s="30" r="L2437">
        <v>193</v>
      </c>
      <c s="30" r="M2437">
        <v>23</v>
      </c>
      <c s="26" r="N2437">
        <v>4.2</v>
      </c>
      <c s="23" r="O2437">
        <v>0.01</v>
      </c>
      <c s="7" r="P2437"/>
      <c s="7" r="Q2437"/>
      <c s="7" r="R2437">
        <f>IF((P2437&gt;0),O2437,0)</f>
        <v>0</v>
      </c>
      <c t="str" r="S2437">
        <f>CONCATENATE(F2437,E2437)</f>
        <v>NON FTLNON FTL</v>
      </c>
    </row>
    <row r="2438">
      <c t="s" s="7" r="A2438">
        <v>201</v>
      </c>
      <c s="7" r="B2438">
        <v>2465</v>
      </c>
      <c s="30" r="C2438">
        <v>14</v>
      </c>
      <c t="s" s="30" r="D2438">
        <v>170</v>
      </c>
      <c t="s" s="30" r="E2438">
        <v>4</v>
      </c>
      <c t="s" s="30" r="F2438">
        <v>4</v>
      </c>
      <c t="s" s="30" r="G2438">
        <v>286</v>
      </c>
      <c t="str" s="12" r="H2438">
        <f>HYPERLINK("http://sofifa.com/en/fifa13winter/player/147762-dries-mertens","D. Mertens")</f>
        <v>D. Mertens</v>
      </c>
      <c s="30" r="I2438">
        <v>80</v>
      </c>
      <c t="s" s="30" r="J2438">
        <v>170</v>
      </c>
      <c t="s" s="30" r="K2438">
        <v>205</v>
      </c>
      <c t="s" s="30" r="L2438">
        <v>141</v>
      </c>
      <c s="30" r="M2438">
        <v>25</v>
      </c>
      <c s="26" r="N2438">
        <v>12</v>
      </c>
      <c s="23" r="O2438">
        <v>0.03</v>
      </c>
      <c s="7" r="P2438"/>
      <c s="7" r="Q2438"/>
      <c s="7" r="R2438">
        <f>IF((P2438&gt;0),O2438,0)</f>
        <v>0</v>
      </c>
      <c t="str" r="S2438">
        <f>CONCATENATE(F2438,E2438)</f>
        <v>NON FTLNON FTL</v>
      </c>
    </row>
    <row r="2439">
      <c t="s" s="7" r="A2439">
        <v>201</v>
      </c>
      <c s="7" r="B2439">
        <v>2466</v>
      </c>
      <c s="30" r="C2439">
        <v>22</v>
      </c>
      <c t="s" s="30" r="D2439">
        <v>136</v>
      </c>
      <c t="s" s="30" r="E2439">
        <v>4</v>
      </c>
      <c t="s" s="30" r="F2439">
        <v>4</v>
      </c>
      <c t="s" s="30" r="G2439">
        <v>286</v>
      </c>
      <c t="str" s="12" r="H2439">
        <f>HYPERLINK("http://sofifa.com/en/fifa13winter/player/150237-memphis-depay","M. Depay")</f>
        <v>M. Depay</v>
      </c>
      <c s="30" r="I2439">
        <v>70</v>
      </c>
      <c t="s" s="30" r="J2439">
        <v>170</v>
      </c>
      <c t="s" s="30" r="K2439">
        <v>172</v>
      </c>
      <c t="s" s="30" r="L2439">
        <v>161</v>
      </c>
      <c s="30" r="M2439">
        <v>18</v>
      </c>
      <c s="26" r="N2439">
        <v>2.3</v>
      </c>
      <c s="23" r="O2439">
        <v>0.005</v>
      </c>
      <c s="7" r="P2439"/>
      <c s="7" r="Q2439"/>
      <c s="7" r="R2439">
        <f>IF((P2439&gt;0),O2439,0)</f>
        <v>0</v>
      </c>
      <c t="str" r="S2439">
        <f>CONCATENATE(F2439,E2439)</f>
        <v>NON FTLNON FTL</v>
      </c>
    </row>
    <row r="2440">
      <c t="s" s="7" r="A2440">
        <v>201</v>
      </c>
      <c s="7" r="B2440">
        <v>2467</v>
      </c>
      <c s="30" r="C2440">
        <v>19</v>
      </c>
      <c t="s" s="30" r="D2440">
        <v>136</v>
      </c>
      <c t="s" s="30" r="E2440">
        <v>4</v>
      </c>
      <c t="s" s="30" r="F2440">
        <v>4</v>
      </c>
      <c t="s" s="30" r="G2440">
        <v>286</v>
      </c>
      <c t="str" s="12" r="H2440">
        <f>HYPERLINK("http://sofifa.com/en/fifa13winter/player/150139-jurgen-locadia","J. Locadia")</f>
        <v>J. Locadia</v>
      </c>
      <c s="30" r="I2440">
        <v>70</v>
      </c>
      <c t="s" s="30" r="J2440">
        <v>129</v>
      </c>
      <c t="s" s="30" r="K2440">
        <v>144</v>
      </c>
      <c t="s" s="30" r="L2440">
        <v>158</v>
      </c>
      <c s="30" r="M2440">
        <v>18</v>
      </c>
      <c s="26" r="N2440">
        <v>2.6</v>
      </c>
      <c s="23" r="O2440">
        <v>0.005</v>
      </c>
      <c s="7" r="P2440"/>
      <c s="7" r="Q2440"/>
      <c s="7" r="R2440">
        <f>IF((P2440&gt;0),O2440,0)</f>
        <v>0</v>
      </c>
      <c t="str" r="S2440">
        <f>CONCATENATE(F2440,E2440)</f>
        <v>NON FTLNON FTL</v>
      </c>
    </row>
    <row r="2441">
      <c t="s" s="7" r="A2441">
        <v>201</v>
      </c>
      <c s="7" r="B2441">
        <v>2468</v>
      </c>
      <c s="30" r="C2441">
        <v>18</v>
      </c>
      <c t="s" s="30" r="D2441">
        <v>136</v>
      </c>
      <c t="s" s="30" r="E2441">
        <v>4</v>
      </c>
      <c t="s" s="30" r="F2441">
        <v>4</v>
      </c>
      <c t="s" s="30" r="G2441">
        <v>286</v>
      </c>
      <c t="str" s="12" r="H2441">
        <f>HYPERLINK("http://sofifa.com/en/fifa13winter/player/147781-timothy-derijck","T. Derijck")</f>
        <v>T. Derijck</v>
      </c>
      <c s="30" r="I2441">
        <v>71</v>
      </c>
      <c t="s" s="30" r="J2441">
        <v>113</v>
      </c>
      <c t="s" s="30" r="K2441">
        <v>132</v>
      </c>
      <c t="s" s="30" r="L2441">
        <v>108</v>
      </c>
      <c s="30" r="M2441">
        <v>25</v>
      </c>
      <c s="26" r="N2441">
        <v>2.2</v>
      </c>
      <c s="23" r="O2441">
        <v>0.008</v>
      </c>
      <c s="7" r="P2441"/>
      <c s="7" r="Q2441"/>
      <c s="7" r="R2441">
        <f>IF((P2441&gt;0),O2441,0)</f>
        <v>0</v>
      </c>
      <c t="str" r="S2441">
        <f>CONCATENATE(F2441,E2441)</f>
        <v>NON FTLNON FTL</v>
      </c>
    </row>
    <row r="2442">
      <c t="s" s="7" r="A2442">
        <v>201</v>
      </c>
      <c s="7" r="B2442">
        <v>2469</v>
      </c>
      <c s="30" r="C2442">
        <v>16</v>
      </c>
      <c t="s" s="30" r="D2442">
        <v>136</v>
      </c>
      <c t="s" s="30" r="E2442">
        <v>4</v>
      </c>
      <c t="s" s="30" r="F2442">
        <v>4</v>
      </c>
      <c t="s" s="30" r="G2442">
        <v>286</v>
      </c>
      <c t="str" s="12" r="H2442">
        <f>HYPERLINK("http://sofifa.com/en/fifa13winter/player/144950-orlando-engelaar","O. Engelaar")</f>
        <v>O. Engelaar</v>
      </c>
      <c s="30" r="I2442">
        <v>71</v>
      </c>
      <c t="s" s="30" r="J2442">
        <v>124</v>
      </c>
      <c t="s" s="30" r="K2442">
        <v>196</v>
      </c>
      <c t="s" s="30" r="L2442">
        <v>184</v>
      </c>
      <c s="30" r="M2442">
        <v>33</v>
      </c>
      <c s="26" r="N2442">
        <v>1.7</v>
      </c>
      <c s="23" r="O2442">
        <v>0.01</v>
      </c>
      <c s="7" r="P2442"/>
      <c s="7" r="Q2442"/>
      <c s="7" r="R2442">
        <f>IF((P2442&gt;0),O2442,0)</f>
        <v>0</v>
      </c>
      <c t="str" r="S2442">
        <f>CONCATENATE(F2442,E2442)</f>
        <v>NON FTLNON FTL</v>
      </c>
    </row>
    <row r="2443">
      <c t="s" s="7" r="A2443">
        <v>201</v>
      </c>
      <c s="7" r="B2443">
        <v>2470</v>
      </c>
      <c s="30" r="C2443">
        <v>20</v>
      </c>
      <c t="s" s="30" r="D2443">
        <v>136</v>
      </c>
      <c t="s" s="30" r="E2443">
        <v>4</v>
      </c>
      <c t="s" s="30" r="F2443">
        <v>4</v>
      </c>
      <c t="s" s="30" r="G2443">
        <v>286</v>
      </c>
      <c t="str" s="12" r="H2443">
        <f>HYPERLINK("http://sofifa.com/en/fifa13winter/player/149509-peter-van-ooijen","P. van Ooijen")</f>
        <v>P. van Ooijen</v>
      </c>
      <c s="30" r="I2443">
        <v>64</v>
      </c>
      <c t="s" s="30" r="J2443">
        <v>124</v>
      </c>
      <c t="s" s="30" r="K2443">
        <v>145</v>
      </c>
      <c t="s" s="30" r="L2443">
        <v>163</v>
      </c>
      <c s="30" r="M2443">
        <v>20</v>
      </c>
      <c s="26" r="N2443">
        <v>1</v>
      </c>
      <c s="23" r="O2443">
        <v>0.004</v>
      </c>
      <c s="7" r="P2443"/>
      <c s="7" r="Q2443"/>
      <c s="7" r="R2443">
        <f>IF((P2443&gt;0),O2443,0)</f>
        <v>0</v>
      </c>
      <c t="str" r="S2443">
        <f>CONCATENATE(F2443,E2443)</f>
        <v>NON FTLNON FTL</v>
      </c>
    </row>
    <row r="2444">
      <c t="s" s="7" r="A2444">
        <v>201</v>
      </c>
      <c s="7" r="B2444">
        <v>2471</v>
      </c>
      <c s="30" r="C2444">
        <v>26</v>
      </c>
      <c t="s" s="30" r="D2444">
        <v>136</v>
      </c>
      <c t="s" s="30" r="E2444">
        <v>4</v>
      </c>
      <c t="s" s="30" r="F2444">
        <v>4</v>
      </c>
      <c t="s" s="30" r="G2444">
        <v>286</v>
      </c>
      <c t="str" s="12" r="H2444">
        <f>HYPERLINK("http://sofifa.com/en/fifa13winter/player/148163-jagos-vukovic","J. Vuković")</f>
        <v>J. Vuković</v>
      </c>
      <c s="30" r="I2444">
        <v>68</v>
      </c>
      <c t="s" s="30" r="J2444">
        <v>113</v>
      </c>
      <c t="s" s="30" r="K2444">
        <v>188</v>
      </c>
      <c t="s" s="30" r="L2444">
        <v>193</v>
      </c>
      <c s="30" r="M2444">
        <v>24</v>
      </c>
      <c s="26" r="N2444">
        <v>1.6</v>
      </c>
      <c s="23" r="O2444">
        <v>0.006</v>
      </c>
      <c s="7" r="P2444"/>
      <c s="7" r="Q2444"/>
      <c s="7" r="R2444">
        <f>IF((P2444&gt;0),O2444,0)</f>
        <v>0</v>
      </c>
      <c t="str" r="S2444">
        <f>CONCATENATE(F2444,E2444)</f>
        <v>NON FTLNON FTL</v>
      </c>
    </row>
    <row r="2445">
      <c t="s" s="7" r="A2445">
        <v>201</v>
      </c>
      <c s="7" r="B2445">
        <v>2472</v>
      </c>
      <c s="30" r="C2445">
        <v>24</v>
      </c>
      <c t="s" s="30" r="D2445">
        <v>136</v>
      </c>
      <c t="s" s="30" r="E2445">
        <v>4</v>
      </c>
      <c t="s" s="30" r="F2445">
        <v>4</v>
      </c>
      <c t="s" s="30" r="G2445">
        <v>286</v>
      </c>
      <c t="str" s="12" r="H2445">
        <f>HYPERLINK("http://sofifa.com/en/fifa13winter/player/149940-marcel-ritzmaier","M. Ritzmaier")</f>
        <v>M. Ritzmaier</v>
      </c>
      <c s="30" r="I2445">
        <v>65</v>
      </c>
      <c t="s" s="30" r="J2445">
        <v>124</v>
      </c>
      <c t="s" s="30" r="K2445">
        <v>114</v>
      </c>
      <c t="s" s="30" r="L2445">
        <v>151</v>
      </c>
      <c s="30" r="M2445">
        <v>19</v>
      </c>
      <c s="26" r="N2445">
        <v>1.1</v>
      </c>
      <c s="23" r="O2445">
        <v>0.004</v>
      </c>
      <c s="7" r="P2445"/>
      <c s="7" r="Q2445"/>
      <c s="7" r="R2445">
        <f>IF((P2445&gt;0),O2445,0)</f>
        <v>0</v>
      </c>
      <c t="str" r="S2445">
        <f>CONCATENATE(F2445,E2445)</f>
        <v>NON FTLNON FTL</v>
      </c>
    </row>
    <row r="2446">
      <c t="s" s="7" r="A2446">
        <v>201</v>
      </c>
      <c s="7" r="B2446">
        <v>2473</v>
      </c>
      <c s="30" r="C2446">
        <v>17</v>
      </c>
      <c t="s" s="30" r="D2446">
        <v>136</v>
      </c>
      <c t="s" s="30" r="E2446">
        <v>4</v>
      </c>
      <c t="s" s="30" r="F2446">
        <v>4</v>
      </c>
      <c t="s" s="30" r="G2446">
        <v>286</v>
      </c>
      <c t="str" s="12" r="H2446">
        <f>HYPERLINK("http://sofifa.com/en/fifa13winter/player/148988-luciano-narsingh","L. Narsingh")</f>
        <v>L. Narsingh</v>
      </c>
      <c s="30" r="I2446">
        <v>77</v>
      </c>
      <c t="s" s="30" r="J2446">
        <v>157</v>
      </c>
      <c t="s" s="30" r="K2446">
        <v>139</v>
      </c>
      <c t="s" s="30" r="L2446">
        <v>151</v>
      </c>
      <c s="30" r="M2446">
        <v>21</v>
      </c>
      <c s="26" r="N2446">
        <v>7.5</v>
      </c>
      <c s="23" r="O2446">
        <v>0.015</v>
      </c>
      <c s="7" r="P2446"/>
      <c s="7" r="Q2446"/>
      <c s="7" r="R2446">
        <f>IF((P2446&gt;0),O2446,0)</f>
        <v>0</v>
      </c>
      <c t="str" r="S2446">
        <f>CONCATENATE(F2446,E2446)</f>
        <v>NON FTLNON FTL</v>
      </c>
    </row>
    <row r="2447">
      <c t="s" s="7" r="A2447">
        <v>201</v>
      </c>
      <c s="7" r="B2447">
        <v>2474</v>
      </c>
      <c s="30" r="C2447">
        <v>1</v>
      </c>
      <c t="s" s="30" r="D2447">
        <v>136</v>
      </c>
      <c t="s" s="30" r="E2447">
        <v>4</v>
      </c>
      <c t="s" s="30" r="F2447">
        <v>4</v>
      </c>
      <c t="s" s="30" r="G2447">
        <v>286</v>
      </c>
      <c t="str" s="12" r="H2447">
        <f>HYPERLINK("http://sofifa.com/en/fifa13winter/player/147640-przemyslaw-tyton","P. Tytoń")</f>
        <v>P. Tytoń</v>
      </c>
      <c s="30" r="I2447">
        <v>76</v>
      </c>
      <c t="s" s="30" r="J2447">
        <v>106</v>
      </c>
      <c t="s" s="30" r="K2447">
        <v>176</v>
      </c>
      <c t="s" s="30" r="L2447">
        <v>175</v>
      </c>
      <c s="30" r="M2447">
        <v>25</v>
      </c>
      <c s="26" r="N2447">
        <v>4.1</v>
      </c>
      <c s="23" r="O2447">
        <v>0.015</v>
      </c>
      <c s="7" r="P2447"/>
      <c s="7" r="Q2447"/>
      <c s="7" r="R2447">
        <f>IF((P2447&gt;0),O2447,0)</f>
        <v>0</v>
      </c>
      <c t="str" r="S2447">
        <f>CONCATENATE(F2447,E2447)</f>
        <v>NON FTLNON FTL</v>
      </c>
    </row>
    <row r="2448">
      <c t="s" s="7" r="A2448">
        <v>201</v>
      </c>
      <c s="7" r="B2448">
        <v>2475</v>
      </c>
      <c s="30" r="C2448">
        <v>2</v>
      </c>
      <c t="s" s="30" r="D2448">
        <v>136</v>
      </c>
      <c t="s" s="30" r="E2448">
        <v>4</v>
      </c>
      <c t="s" s="30" r="F2448">
        <v>4</v>
      </c>
      <c t="s" s="30" r="G2448">
        <v>286</v>
      </c>
      <c t="str" s="12" r="H2448">
        <f>HYPERLINK("http://sofifa.com/en/fifa13winter/player/148845-mathias-jorgensen","M. Jørgensen")</f>
        <v>M. Jørgensen</v>
      </c>
      <c s="30" r="I2448">
        <v>71</v>
      </c>
      <c t="s" s="30" r="J2448">
        <v>113</v>
      </c>
      <c t="s" s="30" r="K2448">
        <v>169</v>
      </c>
      <c t="s" s="30" r="L2448">
        <v>156</v>
      </c>
      <c s="30" r="M2448">
        <v>22</v>
      </c>
      <c s="26" r="N2448">
        <v>2.3</v>
      </c>
      <c s="23" r="O2448">
        <v>0.007</v>
      </c>
      <c s="7" r="P2448"/>
      <c s="7" r="Q2448"/>
      <c s="7" r="R2448">
        <f>IF((P2448&gt;0),O2448,0)</f>
        <v>0</v>
      </c>
      <c t="str" r="S2448">
        <f>CONCATENATE(F2448,E2448)</f>
        <v>NON FTLNON FTL</v>
      </c>
    </row>
    <row r="2449">
      <c t="s" s="7" r="A2449">
        <v>201</v>
      </c>
      <c s="7" r="B2449">
        <v>2476</v>
      </c>
      <c s="30" r="C2449">
        <v>5</v>
      </c>
      <c t="s" s="30" r="D2449">
        <v>136</v>
      </c>
      <c t="s" s="30" r="E2449">
        <v>4</v>
      </c>
      <c t="s" s="30" r="F2449">
        <v>4</v>
      </c>
      <c t="s" s="30" r="G2449">
        <v>286</v>
      </c>
      <c t="str" s="12" r="H2449">
        <f>HYPERLINK("http://sofifa.com/en/fifa13winter/player/148221-erik-pieters","E. Pieters")</f>
        <v>E. Pieters</v>
      </c>
      <c s="30" r="I2449">
        <v>72</v>
      </c>
      <c t="s" s="30" r="J2449">
        <v>117</v>
      </c>
      <c t="s" s="30" r="K2449">
        <v>143</v>
      </c>
      <c t="s" s="30" r="L2449">
        <v>180</v>
      </c>
      <c s="30" r="M2449">
        <v>24</v>
      </c>
      <c s="26" r="N2449">
        <v>2.5</v>
      </c>
      <c s="23" r="O2449">
        <v>0.009</v>
      </c>
      <c s="7" r="P2449"/>
      <c s="7" r="Q2449"/>
      <c s="7" r="R2449">
        <f>IF((P2449&gt;0),O2449,0)</f>
        <v>0</v>
      </c>
      <c t="str" r="S2449">
        <f>CONCATENATE(F2449,E2449)</f>
        <v>NON FTLNON FTL</v>
      </c>
    </row>
    <row r="2450">
      <c t="s" s="7" r="A2450">
        <v>201</v>
      </c>
      <c s="7" r="B2450">
        <v>2477</v>
      </c>
      <c s="30" r="C2450">
        <v>10</v>
      </c>
      <c t="s" s="30" r="D2450">
        <v>136</v>
      </c>
      <c t="s" s="30" r="E2450">
        <v>4</v>
      </c>
      <c t="s" s="30" r="F2450">
        <v>4</v>
      </c>
      <c t="s" s="30" r="G2450">
        <v>286</v>
      </c>
      <c t="str" s="12" r="H2450">
        <f>HYPERLINK("http://sofifa.com/en/fifa13winter/player/149047-georginio-wijnaldum","G. Wijnaldum")</f>
        <v>G. Wijnaldum</v>
      </c>
      <c s="30" r="I2450">
        <v>77</v>
      </c>
      <c t="s" s="30" r="J2450">
        <v>162</v>
      </c>
      <c t="s" s="30" r="K2450">
        <v>139</v>
      </c>
      <c t="s" s="30" r="L2450">
        <v>160</v>
      </c>
      <c s="30" r="M2450">
        <v>21</v>
      </c>
      <c s="26" r="N2450">
        <v>7.1</v>
      </c>
      <c s="23" r="O2450">
        <v>0.015</v>
      </c>
      <c s="7" r="P2450"/>
      <c s="7" r="Q2450"/>
      <c s="7" r="R2450">
        <f>IF((P2450&gt;0),O2450,0)</f>
        <v>0</v>
      </c>
      <c t="str" r="S2450">
        <f>CONCATENATE(F2450,E2450)</f>
        <v>NON FTLNON FTL</v>
      </c>
    </row>
    <row r="2451">
      <c t="s" s="7" r="A2451">
        <v>201</v>
      </c>
      <c s="7" r="B2451">
        <v>2478</v>
      </c>
      <c s="30" r="C2451">
        <v>40</v>
      </c>
      <c t="s" s="30" r="D2451">
        <v>147</v>
      </c>
      <c t="s" s="30" r="E2451">
        <v>4</v>
      </c>
      <c t="s" s="30" r="F2451">
        <v>4</v>
      </c>
      <c t="s" s="30" r="G2451">
        <v>286</v>
      </c>
      <c t="str" s="12" r="H2451">
        <f>HYPERLINK("http://sofifa.com/en/fifa13winter/player/150198-thomas-horsten","T. Horsten")</f>
        <v>T. Horsten</v>
      </c>
      <c s="30" r="I2451">
        <v>59</v>
      </c>
      <c t="s" s="30" r="J2451">
        <v>124</v>
      </c>
      <c t="s" s="30" r="K2451">
        <v>114</v>
      </c>
      <c t="s" s="30" r="L2451">
        <v>151</v>
      </c>
      <c s="30" r="M2451">
        <v>18</v>
      </c>
      <c s="26" r="N2451">
        <v>0.4</v>
      </c>
      <c s="23" r="O2451">
        <v>0.002</v>
      </c>
      <c s="7" r="P2451"/>
      <c s="7" r="Q2451"/>
      <c s="7" r="R2451">
        <f>IF((P2451&gt;0),O2451,0)</f>
        <v>0</v>
      </c>
      <c t="str" r="S2451">
        <f>CONCATENATE(F2451,E2451)</f>
        <v>NON FTLNON FTL</v>
      </c>
    </row>
    <row r="2452">
      <c t="s" s="7" r="A2452">
        <v>201</v>
      </c>
      <c s="7" r="B2452">
        <v>2479</v>
      </c>
      <c s="30" r="C2452">
        <v>37</v>
      </c>
      <c t="s" s="30" r="D2452">
        <v>147</v>
      </c>
      <c t="s" s="30" r="E2452">
        <v>4</v>
      </c>
      <c t="s" s="30" r="F2452">
        <v>4</v>
      </c>
      <c t="s" s="30" r="G2452">
        <v>286</v>
      </c>
      <c t="str" s="12" r="H2452">
        <f>HYPERLINK("http://sofifa.com/en/fifa13winter/player/150272-joshua-brenet","J. Brenet")</f>
        <v>J. Brenet</v>
      </c>
      <c s="30" r="I2452">
        <v>61</v>
      </c>
      <c t="s" s="30" r="J2452">
        <v>109</v>
      </c>
      <c t="s" s="30" r="K2452">
        <v>150</v>
      </c>
      <c t="s" s="30" r="L2452">
        <v>160</v>
      </c>
      <c s="30" r="M2452">
        <v>18</v>
      </c>
      <c s="26" r="N2452">
        <v>0.6</v>
      </c>
      <c s="23" r="O2452">
        <v>0.003</v>
      </c>
      <c s="7" r="P2452"/>
      <c s="7" r="Q2452"/>
      <c s="7" r="R2452">
        <f>IF((P2452&gt;0),O2452,0)</f>
        <v>0</v>
      </c>
      <c t="str" r="S2452">
        <f>CONCATENATE(F2452,E2452)</f>
        <v>NON FTLNON FTL</v>
      </c>
    </row>
    <row r="2453">
      <c t="s" s="7" r="A2453">
        <v>201</v>
      </c>
      <c s="7" r="B2453">
        <v>2480</v>
      </c>
      <c s="30" r="C2453">
        <v>33</v>
      </c>
      <c t="s" s="30" r="D2453">
        <v>147</v>
      </c>
      <c t="s" s="30" r="E2453">
        <v>4</v>
      </c>
      <c t="s" s="30" r="F2453">
        <v>4</v>
      </c>
      <c t="s" s="30" r="G2453">
        <v>286</v>
      </c>
      <c t="str" s="12" r="H2453">
        <f>HYPERLINK("http://sofifa.com/en/fifa13winter/player/150949-zakaria-bakkali","Z. Bakkali")</f>
        <v>Z. Bakkali</v>
      </c>
      <c s="30" r="I2453">
        <v>63</v>
      </c>
      <c t="s" s="30" r="J2453">
        <v>170</v>
      </c>
      <c t="s" s="30" r="K2453">
        <v>226</v>
      </c>
      <c t="s" s="30" r="L2453">
        <v>127</v>
      </c>
      <c s="30" r="M2453">
        <v>16</v>
      </c>
      <c s="26" r="N2453">
        <v>1</v>
      </c>
      <c s="23" r="O2453">
        <v>0.003</v>
      </c>
      <c s="7" r="P2453"/>
      <c s="7" r="Q2453"/>
      <c s="7" r="R2453">
        <f>IF((P2453&gt;0),O2453,0)</f>
        <v>0</v>
      </c>
      <c t="str" r="S2453">
        <f>CONCATENATE(F2453,E2453)</f>
        <v>NON FTLNON FTL</v>
      </c>
    </row>
    <row r="2454">
      <c t="s" s="7" r="A2454">
        <v>201</v>
      </c>
      <c s="7" r="B2454">
        <v>2481</v>
      </c>
      <c s="30" r="C2454">
        <v>41</v>
      </c>
      <c t="s" s="30" r="D2454">
        <v>147</v>
      </c>
      <c t="s" s="30" r="E2454">
        <v>4</v>
      </c>
      <c t="s" s="30" r="F2454">
        <v>4</v>
      </c>
      <c t="s" s="30" r="G2454">
        <v>286</v>
      </c>
      <c t="str" s="12" r="H2454">
        <f>HYPERLINK("http://sofifa.com/en/fifa13winter/player/149836-nigel-bertrams","N. Bertrams")</f>
        <v>N. Bertrams</v>
      </c>
      <c s="30" r="I2454">
        <v>62</v>
      </c>
      <c t="s" s="30" r="J2454">
        <v>106</v>
      </c>
      <c t="s" s="30" r="K2454">
        <v>169</v>
      </c>
      <c t="s" s="30" r="L2454">
        <v>183</v>
      </c>
      <c s="30" r="M2454">
        <v>19</v>
      </c>
      <c s="26" r="N2454">
        <v>0.6</v>
      </c>
      <c s="23" r="O2454">
        <v>0.003</v>
      </c>
      <c s="7" r="P2454"/>
      <c s="7" r="Q2454"/>
      <c s="7" r="R2454">
        <f>IF((P2454&gt;0),O2454,0)</f>
        <v>0</v>
      </c>
      <c t="str" r="S2454">
        <f>CONCATENATE(F2454,E2454)</f>
        <v>NON FTLNON FTL</v>
      </c>
    </row>
    <row r="2455">
      <c t="s" s="7" r="A2455">
        <v>201</v>
      </c>
      <c s="7" r="B2455">
        <v>2482</v>
      </c>
      <c s="30" r="C2455">
        <v>25</v>
      </c>
      <c t="s" s="30" r="D2455">
        <v>147</v>
      </c>
      <c t="s" s="30" r="E2455">
        <v>4</v>
      </c>
      <c t="s" s="30" r="F2455">
        <v>4</v>
      </c>
      <c t="s" s="30" r="G2455">
        <v>286</v>
      </c>
      <c t="str" s="12" r="H2455">
        <f>HYPERLINK("http://sofifa.com/en/fifa13winter/player/150376-menno-koch","M. Koch")</f>
        <v>M. Koch</v>
      </c>
      <c s="30" r="I2455">
        <v>63</v>
      </c>
      <c t="s" s="30" r="J2455">
        <v>113</v>
      </c>
      <c t="s" s="30" r="K2455">
        <v>176</v>
      </c>
      <c t="s" s="30" r="L2455">
        <v>161</v>
      </c>
      <c s="30" r="M2455">
        <v>18</v>
      </c>
      <c s="26" r="N2455">
        <v>0.9</v>
      </c>
      <c s="23" r="O2455">
        <v>0.003</v>
      </c>
      <c s="7" r="P2455"/>
      <c s="7" r="Q2455"/>
      <c s="7" r="R2455">
        <f>IF((P2455&gt;0),O2455,0)</f>
        <v>0</v>
      </c>
      <c t="str" r="S2455">
        <f>CONCATENATE(F2455,E2455)</f>
        <v>NON FTLNON FTL</v>
      </c>
    </row>
    <row r="2456">
      <c t="s" s="7" r="A2456">
        <v>201</v>
      </c>
      <c s="7" r="B2456">
        <v>2483</v>
      </c>
      <c s="30" r="C2456">
        <v>42</v>
      </c>
      <c t="s" s="30" r="D2456">
        <v>147</v>
      </c>
      <c t="s" s="30" r="E2456">
        <v>4</v>
      </c>
      <c t="s" s="30" r="F2456">
        <v>4</v>
      </c>
      <c t="s" s="30" r="G2456">
        <v>286</v>
      </c>
      <c t="str" s="12" r="H2456">
        <f>HYPERLINK("http://sofifa.com/en/fifa13winter/player/148224-stef-nijland","S. Nijland")</f>
        <v>S. Nijland</v>
      </c>
      <c s="30" r="I2456">
        <v>66</v>
      </c>
      <c t="s" s="30" r="J2456">
        <v>170</v>
      </c>
      <c t="s" s="30" r="K2456">
        <v>155</v>
      </c>
      <c t="s" s="30" r="L2456">
        <v>138</v>
      </c>
      <c s="30" r="M2456">
        <v>24</v>
      </c>
      <c s="26" r="N2456">
        <v>1.3</v>
      </c>
      <c s="23" r="O2456">
        <v>0.005</v>
      </c>
      <c s="7" r="P2456"/>
      <c s="7" r="Q2456"/>
      <c s="7" r="R2456">
        <f>IF((P2456&gt;0),O2456,0)</f>
        <v>0</v>
      </c>
      <c t="str" r="S2456">
        <f>CONCATENATE(F2456,E2456)</f>
        <v>NON FTLNON FTL</v>
      </c>
    </row>
    <row r="2457">
      <c t="s" s="7" r="A2457">
        <v>201</v>
      </c>
      <c s="7" r="B2457">
        <v>2484</v>
      </c>
      <c s="30" r="C2457">
        <v>29</v>
      </c>
      <c t="s" s="30" r="D2457">
        <v>147</v>
      </c>
      <c t="s" s="30" r="E2457">
        <v>4</v>
      </c>
      <c t="s" s="30" r="F2457">
        <v>4</v>
      </c>
      <c t="s" s="30" r="G2457">
        <v>286</v>
      </c>
      <c t="str" s="12" r="H2457">
        <f>HYPERLINK("http://sofifa.com/en/fifa13winter/player/150595-jorrit-hendrix","J. Hendrix")</f>
        <v>J. Hendrix</v>
      </c>
      <c s="30" r="I2457">
        <v>63</v>
      </c>
      <c t="s" s="30" r="J2457">
        <v>113</v>
      </c>
      <c t="s" s="30" r="K2457">
        <v>143</v>
      </c>
      <c t="s" s="30" r="L2457">
        <v>122</v>
      </c>
      <c s="30" r="M2457">
        <v>17</v>
      </c>
      <c s="26" r="N2457">
        <v>0.9</v>
      </c>
      <c s="23" r="O2457">
        <v>0.003</v>
      </c>
      <c s="7" r="P2457"/>
      <c s="7" r="Q2457"/>
      <c s="7" r="R2457">
        <f>IF((P2457&gt;0),O2457,0)</f>
        <v>0</v>
      </c>
      <c t="str" r="S2457">
        <f>CONCATENATE(F2457,E2457)</f>
        <v>NON FTLNON FTL</v>
      </c>
    </row>
    <row r="2458">
      <c t="s" s="7" r="A2458">
        <v>201</v>
      </c>
      <c s="7" r="B2458">
        <v>2485</v>
      </c>
      <c s="30" r="C2458">
        <v>1</v>
      </c>
      <c t="s" s="30" r="D2458">
        <v>106</v>
      </c>
      <c t="s" s="30" r="E2458">
        <v>4</v>
      </c>
      <c t="s" s="30" r="F2458">
        <v>4</v>
      </c>
      <c t="s" s="30" r="G2458">
        <v>287</v>
      </c>
      <c t="str" s="12" r="H2458">
        <f>HYPERLINK("http://sofifa.com/en/fifa13winter/player/145462-christian-puggioni","C. Puggioni")</f>
        <v>C. Puggioni</v>
      </c>
      <c s="30" r="I2458">
        <v>74</v>
      </c>
      <c t="s" s="30" r="J2458">
        <v>106</v>
      </c>
      <c t="s" s="30" r="K2458">
        <v>173</v>
      </c>
      <c t="s" s="30" r="L2458">
        <v>183</v>
      </c>
      <c s="30" r="M2458">
        <v>31</v>
      </c>
      <c s="26" r="N2458">
        <v>2.2</v>
      </c>
      <c s="23" r="O2458">
        <v>0.012</v>
      </c>
      <c s="7" r="P2458"/>
      <c s="7" r="Q2458"/>
      <c s="7" r="R2458">
        <f>IF((P2458&gt;0),O2458,0)</f>
        <v>0</v>
      </c>
      <c t="str" r="S2458">
        <f>CONCATENATE(F2458,E2458)</f>
        <v>NON FTLNON FTL</v>
      </c>
    </row>
    <row r="2459">
      <c t="s" s="7" r="A2459">
        <v>201</v>
      </c>
      <c s="7" r="B2459">
        <v>2486</v>
      </c>
      <c s="30" r="C2459">
        <v>21</v>
      </c>
      <c t="s" s="30" r="D2459">
        <v>288</v>
      </c>
      <c t="s" s="30" r="E2459">
        <v>4</v>
      </c>
      <c t="s" s="30" r="F2459">
        <v>4</v>
      </c>
      <c t="s" s="30" r="G2459">
        <v>287</v>
      </c>
      <c t="str" s="12" r="H2459">
        <f>HYPERLINK("http://sofifa.com/en/fifa13winter/player/146606-nicolas-frey","N. Frey")</f>
        <v>N. Frey</v>
      </c>
      <c s="30" r="I2459">
        <v>72</v>
      </c>
      <c t="s" s="30" r="J2459">
        <v>109</v>
      </c>
      <c t="s" s="30" r="K2459">
        <v>167</v>
      </c>
      <c t="s" s="30" r="L2459">
        <v>161</v>
      </c>
      <c s="30" r="M2459">
        <v>28</v>
      </c>
      <c s="26" r="N2459">
        <v>2.3</v>
      </c>
      <c s="23" r="O2459">
        <v>0.009</v>
      </c>
      <c s="7" r="P2459"/>
      <c s="7" r="Q2459"/>
      <c s="7" r="R2459">
        <f>IF((P2459&gt;0),O2459,0)</f>
        <v>0</v>
      </c>
      <c t="str" r="S2459">
        <f>CONCATENATE(F2459,E2459)</f>
        <v>NON FTLNON FTL</v>
      </c>
    </row>
    <row r="2460">
      <c t="s" s="7" r="A2460">
        <v>201</v>
      </c>
      <c s="7" r="B2460">
        <v>2487</v>
      </c>
      <c s="30" r="C2460">
        <v>3</v>
      </c>
      <c t="s" s="30" r="D2460">
        <v>112</v>
      </c>
      <c t="s" s="30" r="E2460">
        <v>4</v>
      </c>
      <c t="s" s="30" r="F2460">
        <v>4</v>
      </c>
      <c t="s" s="30" r="G2460">
        <v>287</v>
      </c>
      <c t="str" s="12" r="H2460">
        <f>HYPERLINK("http://sofifa.com/en/fifa13winter/player/147432-marco-andreolli","M. Andreolli")</f>
        <v>M. Andreolli</v>
      </c>
      <c s="30" r="I2460">
        <v>77</v>
      </c>
      <c t="s" s="30" r="J2460">
        <v>113</v>
      </c>
      <c t="s" s="30" r="K2460">
        <v>173</v>
      </c>
      <c t="s" s="30" r="L2460">
        <v>153</v>
      </c>
      <c s="30" r="M2460">
        <v>26</v>
      </c>
      <c s="26" r="N2460">
        <v>5.5</v>
      </c>
      <c s="23" r="O2460">
        <v>0.017</v>
      </c>
      <c s="7" r="P2460"/>
      <c s="7" r="Q2460"/>
      <c s="7" r="R2460">
        <f>IF((P2460&gt;0),O2460,0)</f>
        <v>0</v>
      </c>
      <c t="str" r="S2460">
        <f>CONCATENATE(F2460,E2460)</f>
        <v>NON FTLNON FTL</v>
      </c>
    </row>
    <row r="2461">
      <c t="s" s="7" r="A2461">
        <v>201</v>
      </c>
      <c s="7" r="B2461">
        <v>2488</v>
      </c>
      <c s="30" r="C2461">
        <v>12</v>
      </c>
      <c t="s" s="30" r="D2461">
        <v>113</v>
      </c>
      <c t="s" s="30" r="E2461">
        <v>4</v>
      </c>
      <c t="s" s="30" r="F2461">
        <v>4</v>
      </c>
      <c t="s" s="30" r="G2461">
        <v>287</v>
      </c>
      <c t="str" s="12" r="H2461">
        <f>HYPERLINK("http://sofifa.com/en/fifa13winter/player/146000-bostjan-cesar","B. Cesar")</f>
        <v>B. Cesar</v>
      </c>
      <c s="30" r="I2461">
        <v>74</v>
      </c>
      <c t="s" s="30" r="J2461">
        <v>113</v>
      </c>
      <c t="s" s="30" r="K2461">
        <v>144</v>
      </c>
      <c t="s" s="30" r="L2461">
        <v>191</v>
      </c>
      <c s="30" r="M2461">
        <v>30</v>
      </c>
      <c s="26" r="N2461">
        <v>3.1</v>
      </c>
      <c s="23" r="O2461">
        <v>0.012</v>
      </c>
      <c s="7" r="P2461"/>
      <c s="7" r="Q2461"/>
      <c s="7" r="R2461">
        <f>IF((P2461&gt;0),O2461,0)</f>
        <v>0</v>
      </c>
      <c t="str" r="S2461">
        <f>CONCATENATE(F2461,E2461)</f>
        <v>NON FTLNON FTL</v>
      </c>
    </row>
    <row r="2462">
      <c t="s" s="7" r="A2462">
        <v>201</v>
      </c>
      <c s="7" r="B2462">
        <v>2489</v>
      </c>
      <c s="30" r="C2462">
        <v>2</v>
      </c>
      <c t="s" s="30" r="D2462">
        <v>116</v>
      </c>
      <c t="s" s="30" r="E2462">
        <v>4</v>
      </c>
      <c t="s" s="30" r="F2462">
        <v>4</v>
      </c>
      <c t="s" s="30" r="G2462">
        <v>287</v>
      </c>
      <c t="str" s="12" r="H2462">
        <f>HYPERLINK("http://sofifa.com/en/fifa13winter/player/144874-dario-dainelli","D. Dainelli")</f>
        <v>D. Dainelli</v>
      </c>
      <c s="30" r="I2462">
        <v>75</v>
      </c>
      <c t="s" s="30" r="J2462">
        <v>113</v>
      </c>
      <c t="s" s="30" r="K2462">
        <v>144</v>
      </c>
      <c t="s" s="30" r="L2462">
        <v>161</v>
      </c>
      <c s="30" r="M2462">
        <v>33</v>
      </c>
      <c s="26" r="N2462">
        <v>2.9</v>
      </c>
      <c s="23" r="O2462">
        <v>0.016</v>
      </c>
      <c s="7" r="P2462"/>
      <c s="7" r="Q2462"/>
      <c s="7" r="R2462">
        <f>IF((P2462&gt;0),O2462,0)</f>
        <v>0</v>
      </c>
      <c t="str" r="S2462">
        <f>CONCATENATE(F2462,E2462)</f>
        <v>NON FTLNON FTL</v>
      </c>
    </row>
    <row r="2463">
      <c t="s" s="7" r="A2463">
        <v>201</v>
      </c>
      <c s="7" r="B2463">
        <v>2490</v>
      </c>
      <c s="30" r="C2463">
        <v>93</v>
      </c>
      <c t="s" s="30" r="D2463">
        <v>289</v>
      </c>
      <c t="s" s="30" r="E2463">
        <v>4</v>
      </c>
      <c t="s" s="30" r="F2463">
        <v>4</v>
      </c>
      <c t="s" s="30" r="G2463">
        <v>287</v>
      </c>
      <c t="str" s="12" r="H2463">
        <f>HYPERLINK("http://sofifa.com/en/fifa13winter/player/147109-boukary-drame","B. Dramé")</f>
        <v>B. Dramé</v>
      </c>
      <c s="30" r="I2463">
        <v>74</v>
      </c>
      <c t="s" s="30" r="J2463">
        <v>117</v>
      </c>
      <c t="s" s="30" r="K2463">
        <v>114</v>
      </c>
      <c t="s" s="30" r="L2463">
        <v>138</v>
      </c>
      <c s="30" r="M2463">
        <v>27</v>
      </c>
      <c s="26" r="N2463">
        <v>3.1</v>
      </c>
      <c s="23" r="O2463">
        <v>0.011</v>
      </c>
      <c s="7" r="P2463"/>
      <c s="7" r="Q2463"/>
      <c s="7" r="R2463">
        <f>IF((P2463&gt;0),O2463,0)</f>
        <v>0</v>
      </c>
      <c t="str" r="S2463">
        <f>CONCATENATE(F2463,E2463)</f>
        <v>NON FTLNON FTL</v>
      </c>
    </row>
    <row r="2464">
      <c t="s" s="7" r="A2464">
        <v>201</v>
      </c>
      <c s="7" r="B2464">
        <v>2491</v>
      </c>
      <c s="30" r="C2464">
        <v>14</v>
      </c>
      <c t="s" s="30" r="D2464">
        <v>123</v>
      </c>
      <c t="s" s="30" r="E2464">
        <v>4</v>
      </c>
      <c t="s" s="30" r="F2464">
        <v>4</v>
      </c>
      <c t="s" s="30" r="G2464">
        <v>287</v>
      </c>
      <c t="str" s="12" r="H2464">
        <f>HYPERLINK("http://sofifa.com/en/fifa13winter/player/149192-isaac-cofie","I. Cofie")</f>
        <v>I. Cofie</v>
      </c>
      <c s="30" r="I2464">
        <v>71</v>
      </c>
      <c t="s" s="30" r="J2464">
        <v>124</v>
      </c>
      <c t="s" s="30" r="K2464">
        <v>118</v>
      </c>
      <c t="s" s="30" r="L2464">
        <v>119</v>
      </c>
      <c s="30" r="M2464">
        <v>21</v>
      </c>
      <c s="26" r="N2464">
        <v>2.4</v>
      </c>
      <c s="23" r="O2464">
        <v>0.007</v>
      </c>
      <c s="7" r="P2464"/>
      <c s="7" r="Q2464"/>
      <c s="7" r="R2464">
        <f>IF((P2464&gt;0),O2464,0)</f>
        <v>0</v>
      </c>
      <c t="str" r="S2464">
        <f>CONCATENATE(F2464,E2464)</f>
        <v>NON FTLNON FTL</v>
      </c>
    </row>
    <row r="2465">
      <c t="s" s="7" r="A2465">
        <v>201</v>
      </c>
      <c s="7" r="B2465">
        <v>2492</v>
      </c>
      <c s="30" r="C2465">
        <v>16</v>
      </c>
      <c t="s" s="30" r="D2465">
        <v>124</v>
      </c>
      <c t="s" s="30" r="E2465">
        <v>4</v>
      </c>
      <c t="s" s="30" r="F2465">
        <v>4</v>
      </c>
      <c t="s" s="30" r="G2465">
        <v>287</v>
      </c>
      <c t="str" s="12" r="H2465">
        <f>HYPERLINK("http://sofifa.com/en/fifa13winter/player/146882-luca-rigoni","L. Rigoni")</f>
        <v>L. Rigoni</v>
      </c>
      <c s="30" r="I2465">
        <v>74</v>
      </c>
      <c t="s" s="30" r="J2465">
        <v>154</v>
      </c>
      <c t="s" s="30" r="K2465">
        <v>132</v>
      </c>
      <c t="s" s="30" r="L2465">
        <v>161</v>
      </c>
      <c s="30" r="M2465">
        <v>27</v>
      </c>
      <c s="26" r="N2465">
        <v>3.1</v>
      </c>
      <c s="23" r="O2465">
        <v>0.011</v>
      </c>
      <c s="7" r="P2465"/>
      <c s="7" r="Q2465"/>
      <c s="7" r="R2465">
        <f>IF((P2465&gt;0),O2465,0)</f>
        <v>0</v>
      </c>
      <c t="str" r="S2465">
        <f>CONCATENATE(F2465,E2465)</f>
        <v>NON FTLNON FTL</v>
      </c>
    </row>
    <row r="2466">
      <c t="s" s="7" r="A2466">
        <v>201</v>
      </c>
      <c s="7" r="B2466">
        <v>2493</v>
      </c>
      <c s="30" r="C2466">
        <v>56</v>
      </c>
      <c t="s" s="30" r="D2466">
        <v>126</v>
      </c>
      <c t="s" s="30" r="E2466">
        <v>4</v>
      </c>
      <c t="s" s="30" r="F2466">
        <v>4</v>
      </c>
      <c t="s" s="30" r="G2466">
        <v>287</v>
      </c>
      <c t="str" s="12" r="H2466">
        <f>HYPERLINK("http://sofifa.com/en/fifa13winter/player/147617-perparim-hetemaj","P. Hetemaj")</f>
        <v>P. Hetemaj</v>
      </c>
      <c s="30" r="I2466">
        <v>76</v>
      </c>
      <c t="s" s="30" r="J2466">
        <v>124</v>
      </c>
      <c t="s" s="30" r="K2466">
        <v>139</v>
      </c>
      <c t="s" s="30" r="L2466">
        <v>137</v>
      </c>
      <c s="30" r="M2466">
        <v>25</v>
      </c>
      <c s="26" r="N2466">
        <v>4.9</v>
      </c>
      <c s="23" r="O2466">
        <v>0.015</v>
      </c>
      <c s="7" r="P2466"/>
      <c s="7" r="Q2466"/>
      <c s="7" r="R2466">
        <f>IF((P2466&gt;0),O2466,0)</f>
        <v>0</v>
      </c>
      <c t="str" r="S2466">
        <f>CONCATENATE(F2466,E2466)</f>
        <v>NON FTLNON FTL</v>
      </c>
    </row>
    <row r="2467">
      <c t="s" s="7" r="A2467">
        <v>201</v>
      </c>
      <c s="7" r="B2467">
        <v>2494</v>
      </c>
      <c s="30" r="C2467">
        <v>31</v>
      </c>
      <c t="s" s="30" r="D2467">
        <v>131</v>
      </c>
      <c t="s" s="30" r="E2467">
        <v>4</v>
      </c>
      <c t="s" s="30" r="F2467">
        <v>4</v>
      </c>
      <c t="s" s="30" r="G2467">
        <v>287</v>
      </c>
      <c t="str" s="12" r="H2467">
        <f>HYPERLINK("http://sofifa.com/en/fifa13winter/player/144816-sergio-pellissier","S. Pellissier")</f>
        <v>S. Pellissier</v>
      </c>
      <c s="30" r="I2467">
        <v>77</v>
      </c>
      <c t="s" s="30" r="J2467">
        <v>129</v>
      </c>
      <c t="s" s="30" r="K2467">
        <v>139</v>
      </c>
      <c t="s" s="30" r="L2467">
        <v>137</v>
      </c>
      <c s="30" r="M2467">
        <v>33</v>
      </c>
      <c s="26" r="N2467">
        <v>4.7</v>
      </c>
      <c s="23" r="O2467">
        <v>0.021</v>
      </c>
      <c s="7" r="P2467"/>
      <c s="7" r="Q2467"/>
      <c s="7" r="R2467">
        <f>IF((P2467&gt;0),O2467,0)</f>
        <v>0</v>
      </c>
      <c t="str" r="S2467">
        <f>CONCATENATE(F2467,E2467)</f>
        <v>NON FTLNON FTL</v>
      </c>
    </row>
    <row r="2468">
      <c t="s" s="7" r="A2468">
        <v>201</v>
      </c>
      <c s="7" r="B2468">
        <v>2495</v>
      </c>
      <c s="30" r="C2468">
        <v>77</v>
      </c>
      <c t="s" s="30" r="D2468">
        <v>133</v>
      </c>
      <c t="s" s="30" r="E2468">
        <v>4</v>
      </c>
      <c t="s" s="30" r="F2468">
        <v>4</v>
      </c>
      <c t="s" s="30" r="G2468">
        <v>287</v>
      </c>
      <c t="str" s="12" r="H2468">
        <f>HYPERLINK("http://sofifa.com/en/fifa13winter/player/146289-cyril-thereau","C. Théréau")</f>
        <v>C. Théréau</v>
      </c>
      <c s="30" r="I2468">
        <v>78</v>
      </c>
      <c t="s" s="30" r="J2468">
        <v>129</v>
      </c>
      <c t="s" s="30" r="K2468">
        <v>169</v>
      </c>
      <c t="s" s="30" r="L2468">
        <v>161</v>
      </c>
      <c s="30" r="M2468">
        <v>29</v>
      </c>
      <c s="26" r="N2468">
        <v>6.9</v>
      </c>
      <c s="23" r="O2468">
        <v>0.02</v>
      </c>
      <c s="7" r="P2468"/>
      <c s="7" r="Q2468"/>
      <c s="7" r="R2468">
        <f>IF((P2468&gt;0),O2468,0)</f>
        <v>0</v>
      </c>
      <c t="str" r="S2468">
        <f>CONCATENATE(F2468,E2468)</f>
        <v>NON FTLNON FTL</v>
      </c>
    </row>
    <row r="2469">
      <c t="s" s="7" r="A2469">
        <v>201</v>
      </c>
      <c s="7" r="B2469">
        <v>2496</v>
      </c>
      <c s="30" r="C2469">
        <v>43</v>
      </c>
      <c t="s" s="30" r="D2469">
        <v>136</v>
      </c>
      <c t="s" s="30" r="E2469">
        <v>4</v>
      </c>
      <c t="s" s="30" r="F2469">
        <v>4</v>
      </c>
      <c t="s" s="30" r="G2469">
        <v>287</v>
      </c>
      <c t="str" s="12" r="H2469">
        <f>HYPERLINK("http://sofifa.com/en/fifa13winter/player/148736-alberto-paloschi","A. Paloschi")</f>
        <v>A. Paloschi</v>
      </c>
      <c s="30" r="I2469">
        <v>77</v>
      </c>
      <c t="s" s="30" r="J2469">
        <v>129</v>
      </c>
      <c t="s" s="30" r="K2469">
        <v>143</v>
      </c>
      <c t="s" s="30" r="L2469">
        <v>193</v>
      </c>
      <c s="30" r="M2469">
        <v>22</v>
      </c>
      <c s="26" r="N2469">
        <v>7.3</v>
      </c>
      <c s="23" r="O2469">
        <v>0.015</v>
      </c>
      <c s="7" r="P2469"/>
      <c s="7" r="Q2469"/>
      <c s="7" r="R2469">
        <f>IF((P2469&gt;0),O2469,0)</f>
        <v>0</v>
      </c>
      <c t="str" r="S2469">
        <f>CONCATENATE(F2469,E2469)</f>
        <v>NON FTLNON FTL</v>
      </c>
    </row>
    <row r="2470">
      <c t="s" s="7" r="A2470">
        <v>201</v>
      </c>
      <c s="7" r="B2470">
        <v>2497</v>
      </c>
      <c s="30" r="C2470">
        <v>39</v>
      </c>
      <c t="s" s="30" r="D2470">
        <v>136</v>
      </c>
      <c t="s" s="30" r="E2470">
        <v>4</v>
      </c>
      <c t="s" s="30" r="F2470">
        <v>4</v>
      </c>
      <c t="s" s="30" r="G2470">
        <v>287</v>
      </c>
      <c t="str" s="12" r="H2470">
        <f>HYPERLINK("http://sofifa.com/en/fifa13winter/player/149139-adrian-stoian","A. Stoian")</f>
        <v>A. Stoian</v>
      </c>
      <c s="30" r="I2470">
        <v>72</v>
      </c>
      <c t="s" s="30" r="J2470">
        <v>162</v>
      </c>
      <c t="s" s="30" r="K2470">
        <v>139</v>
      </c>
      <c t="s" s="30" r="L2470">
        <v>127</v>
      </c>
      <c s="30" r="M2470">
        <v>21</v>
      </c>
      <c s="26" r="N2470">
        <v>3.3</v>
      </c>
      <c s="23" r="O2470">
        <v>0.008</v>
      </c>
      <c s="7" r="P2470"/>
      <c s="7" r="Q2470"/>
      <c s="7" r="R2470">
        <f>IF((P2470&gt;0),O2470,0)</f>
        <v>0</v>
      </c>
      <c t="str" r="S2470">
        <f>CONCATENATE(F2470,E2470)</f>
        <v>NON FTLNON FTL</v>
      </c>
    </row>
    <row r="2471">
      <c t="s" s="7" r="A2471">
        <v>201</v>
      </c>
      <c s="7" r="B2471">
        <v>2498</v>
      </c>
      <c s="30" r="C2471">
        <v>51</v>
      </c>
      <c t="s" s="30" r="D2471">
        <v>136</v>
      </c>
      <c t="s" s="30" r="E2471">
        <v>4</v>
      </c>
      <c t="s" s="30" r="F2471">
        <v>4</v>
      </c>
      <c t="s" s="30" r="G2471">
        <v>287</v>
      </c>
      <c t="str" s="12" r="H2471">
        <f>HYPERLINK("http://sofifa.com/en/fifa13winter/player/148224-francesco-acerbi","F. Acerbi")</f>
        <v>F. Acerbi</v>
      </c>
      <c s="30" r="I2471">
        <v>75</v>
      </c>
      <c t="s" s="30" r="J2471">
        <v>113</v>
      </c>
      <c t="s" s="30" r="K2471">
        <v>165</v>
      </c>
      <c t="s" s="30" r="L2471">
        <v>178</v>
      </c>
      <c s="30" r="M2471">
        <v>24</v>
      </c>
      <c s="26" r="N2471">
        <v>4.5</v>
      </c>
      <c s="23" r="O2471">
        <v>0.013</v>
      </c>
      <c s="7" r="P2471"/>
      <c s="7" r="Q2471"/>
      <c s="7" r="R2471">
        <f>IF((P2471&gt;0),O2471,0)</f>
        <v>0</v>
      </c>
      <c t="str" r="S2471">
        <f>CONCATENATE(F2471,E2471)</f>
        <v>NON FTLNON FTL</v>
      </c>
    </row>
    <row r="2472">
      <c t="s" s="7" r="A2472">
        <v>201</v>
      </c>
      <c s="7" r="B2472">
        <v>2499</v>
      </c>
      <c s="30" r="C2472">
        <v>27</v>
      </c>
      <c t="s" s="30" r="D2472">
        <v>136</v>
      </c>
      <c t="s" s="30" r="E2472">
        <v>4</v>
      </c>
      <c t="s" s="30" r="F2472">
        <v>4</v>
      </c>
      <c t="s" s="30" r="G2472">
        <v>287</v>
      </c>
      <c t="str" s="12" r="H2472">
        <f>HYPERLINK("http://sofifa.com/en/fifa13winter/player/147602-gabriel-hauche","G. Hauche")</f>
        <v>G. Hauche</v>
      </c>
      <c s="30" r="I2472">
        <v>72</v>
      </c>
      <c t="s" s="30" r="J2472">
        <v>129</v>
      </c>
      <c t="s" s="30" r="K2472">
        <v>148</v>
      </c>
      <c t="s" s="30" r="L2472">
        <v>122</v>
      </c>
      <c s="30" r="M2472">
        <v>25</v>
      </c>
      <c s="26" r="N2472">
        <v>3.1</v>
      </c>
      <c s="23" r="O2472">
        <v>0.009</v>
      </c>
      <c s="7" r="P2472"/>
      <c s="7" r="Q2472"/>
      <c s="7" r="R2472">
        <f>IF((P2472&gt;0),O2472,0)</f>
        <v>0</v>
      </c>
      <c t="str" r="S2472">
        <f>CONCATENATE(F2472,E2472)</f>
        <v>NON FTLNON FTL</v>
      </c>
    </row>
    <row r="2473">
      <c t="s" s="7" r="A2473">
        <v>201</v>
      </c>
      <c s="7" r="B2473">
        <v>2500</v>
      </c>
      <c s="30" r="C2473">
        <v>17</v>
      </c>
      <c t="s" s="30" r="D2473">
        <v>136</v>
      </c>
      <c t="s" s="30" r="E2473">
        <v>4</v>
      </c>
      <c t="s" s="30" r="F2473">
        <v>4</v>
      </c>
      <c t="s" s="30" r="G2473">
        <v>287</v>
      </c>
      <c t="str" s="12" r="H2473">
        <f>HYPERLINK("http://sofifa.com/en/fifa13winter/player/149767-mario-sampirisi","M. Sampirisi")</f>
        <v>M. Sampirisi</v>
      </c>
      <c s="30" r="I2473">
        <v>70</v>
      </c>
      <c t="s" s="30" r="J2473">
        <v>109</v>
      </c>
      <c t="s" s="30" r="K2473">
        <v>132</v>
      </c>
      <c t="s" s="30" r="L2473">
        <v>151</v>
      </c>
      <c s="30" r="M2473">
        <v>19</v>
      </c>
      <c s="26" r="N2473">
        <v>2</v>
      </c>
      <c s="23" r="O2473">
        <v>0.005</v>
      </c>
      <c s="7" r="P2473"/>
      <c s="7" r="Q2473"/>
      <c s="7" r="R2473">
        <f>IF((P2473&gt;0),O2473,0)</f>
        <v>0</v>
      </c>
      <c t="str" r="S2473">
        <f>CONCATENATE(F2473,E2473)</f>
        <v>NON FTLNON FTL</v>
      </c>
    </row>
    <row r="2474">
      <c t="s" s="7" r="A2474">
        <v>201</v>
      </c>
      <c s="7" r="B2474">
        <v>2501</v>
      </c>
      <c s="30" r="C2474">
        <v>19</v>
      </c>
      <c t="s" s="30" r="D2474">
        <v>136</v>
      </c>
      <c t="s" s="30" r="E2474">
        <v>4</v>
      </c>
      <c t="s" s="30" r="F2474">
        <v>4</v>
      </c>
      <c t="s" s="30" r="G2474">
        <v>287</v>
      </c>
      <c t="str" s="12" r="H2474">
        <f>HYPERLINK("http://sofifa.com/en/fifa13winter/player/147392-mamadou-samassa","M. Samassa")</f>
        <v>M. Samassa</v>
      </c>
      <c s="30" r="I2474">
        <v>69</v>
      </c>
      <c t="s" s="30" r="J2474">
        <v>129</v>
      </c>
      <c t="s" s="30" r="K2474">
        <v>134</v>
      </c>
      <c t="s" s="30" r="L2474">
        <v>193</v>
      </c>
      <c s="30" r="M2474">
        <v>26</v>
      </c>
      <c s="26" r="N2474">
        <v>2</v>
      </c>
      <c s="23" r="O2474">
        <v>0.007</v>
      </c>
      <c s="7" r="P2474"/>
      <c s="7" r="Q2474"/>
      <c s="7" r="R2474">
        <f>IF((P2474&gt;0),O2474,0)</f>
        <v>0</v>
      </c>
      <c t="str" r="S2474">
        <f>CONCATENATE(F2474,E2474)</f>
        <v>NON FTLNON FTL</v>
      </c>
    </row>
    <row r="2475">
      <c t="s" s="7" r="A2475">
        <v>201</v>
      </c>
      <c s="7" r="B2475">
        <v>2502</v>
      </c>
      <c s="30" r="C2475">
        <v>13</v>
      </c>
      <c t="s" s="30" r="D2475">
        <v>136</v>
      </c>
      <c t="s" s="30" r="E2475">
        <v>4</v>
      </c>
      <c t="s" s="30" r="F2475">
        <v>4</v>
      </c>
      <c t="s" s="30" r="G2475">
        <v>287</v>
      </c>
      <c t="str" s="12" r="H2475">
        <f>HYPERLINK("http://sofifa.com/en/fifa13winter/player/147408-bojan-jokic","B. Jokič")</f>
        <v>B. Jokič</v>
      </c>
      <c s="30" r="I2475">
        <v>74</v>
      </c>
      <c t="s" s="30" r="J2475">
        <v>117</v>
      </c>
      <c t="s" s="30" r="K2475">
        <v>172</v>
      </c>
      <c t="s" s="30" r="L2475">
        <v>151</v>
      </c>
      <c s="30" r="M2475">
        <v>26</v>
      </c>
      <c s="26" r="N2475">
        <v>3.1</v>
      </c>
      <c s="23" r="O2475">
        <v>0.011</v>
      </c>
      <c s="7" r="P2475"/>
      <c s="7" r="Q2475"/>
      <c s="7" r="R2475">
        <f>IF((P2475&gt;0),O2475,0)</f>
        <v>0</v>
      </c>
      <c t="str" r="S2475">
        <f>CONCATENATE(F2475,E2475)</f>
        <v>NON FTLNON FTL</v>
      </c>
    </row>
    <row r="2476">
      <c t="s" s="7" r="A2476">
        <v>201</v>
      </c>
      <c s="7" r="B2476">
        <v>2503</v>
      </c>
      <c s="30" r="C2476">
        <v>25</v>
      </c>
      <c t="s" s="30" r="D2476">
        <v>136</v>
      </c>
      <c t="s" s="30" r="E2476">
        <v>4</v>
      </c>
      <c t="s" s="30" r="F2476">
        <v>4</v>
      </c>
      <c t="s" s="30" r="G2476">
        <v>287</v>
      </c>
      <c t="str" s="12" r="H2476">
        <f>HYPERLINK("http://sofifa.com/en/fifa13winter/player/147774-kamil-vacek","K. Vacek")</f>
        <v>K. Vacek</v>
      </c>
      <c s="30" r="I2476">
        <v>72</v>
      </c>
      <c t="s" s="30" r="J2476">
        <v>124</v>
      </c>
      <c t="s" s="30" r="K2476">
        <v>167</v>
      </c>
      <c t="s" s="30" r="L2476">
        <v>193</v>
      </c>
      <c s="30" r="M2476">
        <v>25</v>
      </c>
      <c s="26" r="N2476">
        <v>2.6</v>
      </c>
      <c s="23" r="O2476">
        <v>0.009</v>
      </c>
      <c s="7" r="P2476"/>
      <c s="7" r="Q2476"/>
      <c s="7" r="R2476">
        <f>IF((P2476&gt;0),O2476,0)</f>
        <v>0</v>
      </c>
      <c t="str" r="S2476">
        <f>CONCATENATE(F2476,E2476)</f>
        <v>NON FTLNON FTL</v>
      </c>
    </row>
    <row r="2477">
      <c t="s" s="7" r="A2477">
        <v>201</v>
      </c>
      <c s="7" r="B2477">
        <v>2504</v>
      </c>
      <c s="30" r="C2477">
        <v>88</v>
      </c>
      <c t="s" s="30" r="D2477">
        <v>136</v>
      </c>
      <c t="s" s="30" r="E2477">
        <v>4</v>
      </c>
      <c t="s" s="30" r="F2477">
        <v>4</v>
      </c>
      <c t="s" s="30" r="G2477">
        <v>287</v>
      </c>
      <c t="str" s="12" r="H2477">
        <f>HYPERLINK("http://sofifa.com/en/fifa13winter/player/148188-samir-ujkani","S. Ujkani")</f>
        <v>S. Ujkani</v>
      </c>
      <c s="30" r="I2477">
        <v>74</v>
      </c>
      <c t="s" s="30" r="J2477">
        <v>106</v>
      </c>
      <c t="s" s="30" r="K2477">
        <v>173</v>
      </c>
      <c t="s" s="30" r="L2477">
        <v>161</v>
      </c>
      <c s="30" r="M2477">
        <v>24</v>
      </c>
      <c s="26" r="N2477">
        <v>2.9</v>
      </c>
      <c s="23" r="O2477">
        <v>0.011</v>
      </c>
      <c s="7" r="P2477"/>
      <c s="7" r="Q2477"/>
      <c s="7" r="R2477">
        <f>IF((P2477&gt;0),O2477,0)</f>
        <v>0</v>
      </c>
      <c t="str" r="S2477">
        <f>CONCATENATE(F2477,E2477)</f>
        <v>NON FTLNON FTL</v>
      </c>
    </row>
    <row r="2478">
      <c t="s" s="7" r="A2478">
        <v>201</v>
      </c>
      <c s="7" r="B2478">
        <v>2505</v>
      </c>
      <c s="30" r="C2478">
        <v>5</v>
      </c>
      <c t="s" s="30" r="D2478">
        <v>136</v>
      </c>
      <c t="s" s="30" r="E2478">
        <v>4</v>
      </c>
      <c t="s" s="30" r="F2478">
        <v>4</v>
      </c>
      <c t="s" s="30" r="G2478">
        <v>287</v>
      </c>
      <c t="str" s="12" r="H2478">
        <f>HYPERLINK("http://sofifa.com/en/fifa13winter/player/145466-roberto-guana","R. Guana")</f>
        <v>R. Guana</v>
      </c>
      <c s="30" r="I2478">
        <v>73</v>
      </c>
      <c t="s" s="30" r="J2478">
        <v>154</v>
      </c>
      <c t="s" s="30" r="K2478">
        <v>118</v>
      </c>
      <c t="s" s="30" r="L2478">
        <v>146</v>
      </c>
      <c s="30" r="M2478">
        <v>31</v>
      </c>
      <c s="26" r="N2478">
        <v>2.2</v>
      </c>
      <c s="23" r="O2478">
        <v>0.011</v>
      </c>
      <c s="7" r="P2478"/>
      <c s="7" r="Q2478"/>
      <c s="7" r="R2478">
        <f>IF((P2478&gt;0),O2478,0)</f>
        <v>0</v>
      </c>
      <c t="str" r="S2478">
        <f>CONCATENATE(F2478,E2478)</f>
        <v>NON FTLNON FTL</v>
      </c>
    </row>
    <row r="2479">
      <c t="s" s="7" r="A2479">
        <v>201</v>
      </c>
      <c s="7" r="B2479">
        <v>2506</v>
      </c>
      <c s="30" r="C2479">
        <v>20</v>
      </c>
      <c t="s" s="30" r="D2479">
        <v>136</v>
      </c>
      <c t="s" s="30" r="E2479">
        <v>4</v>
      </c>
      <c t="s" s="30" r="F2479">
        <v>4</v>
      </c>
      <c t="s" s="30" r="G2479">
        <v>287</v>
      </c>
      <c t="str" s="12" r="H2479">
        <f>HYPERLINK("http://sofifa.com/en/fifa13winter/player/144842-gennaro-sardo","G. Sardo")</f>
        <v>G. Sardo</v>
      </c>
      <c s="30" r="I2479">
        <v>72</v>
      </c>
      <c t="s" s="30" r="J2479">
        <v>109</v>
      </c>
      <c t="s" s="30" r="K2479">
        <v>152</v>
      </c>
      <c t="s" s="30" r="L2479">
        <v>192</v>
      </c>
      <c s="30" r="M2479">
        <v>33</v>
      </c>
      <c s="26" r="N2479">
        <v>1.7</v>
      </c>
      <c s="23" r="O2479">
        <v>0.011</v>
      </c>
      <c s="7" r="P2479"/>
      <c s="7" r="Q2479"/>
      <c s="7" r="R2479">
        <f>IF((P2479&gt;0),O2479,0)</f>
        <v>0</v>
      </c>
      <c t="str" r="S2479">
        <f>CONCATENATE(F2479,E2479)</f>
        <v>NON FTLNON FTL</v>
      </c>
    </row>
    <row r="2480">
      <c t="s" s="7" r="A2480">
        <v>201</v>
      </c>
      <c s="7" r="B2480">
        <v>2507</v>
      </c>
      <c s="30" r="C2480">
        <v>10</v>
      </c>
      <c t="s" s="30" r="D2480">
        <v>136</v>
      </c>
      <c t="s" s="30" r="E2480">
        <v>4</v>
      </c>
      <c t="s" s="30" r="F2480">
        <v>4</v>
      </c>
      <c t="s" s="30" r="G2480">
        <v>287</v>
      </c>
      <c t="str" s="12" r="H2480">
        <f>HYPERLINK("http://sofifa.com/en/fifa13winter/player/143590-luciano-de-oliveira","Luciano")</f>
        <v>Luciano</v>
      </c>
      <c s="30" r="I2480">
        <v>70</v>
      </c>
      <c t="s" s="30" r="J2480">
        <v>124</v>
      </c>
      <c t="s" s="30" r="K2480">
        <v>150</v>
      </c>
      <c t="s" s="30" r="L2480">
        <v>137</v>
      </c>
      <c s="30" r="M2480">
        <v>36</v>
      </c>
      <c s="26" r="N2480">
        <v>1</v>
      </c>
      <c s="23" r="O2480">
        <v>0.009</v>
      </c>
      <c s="7" r="P2480"/>
      <c s="7" r="Q2480"/>
      <c s="7" r="R2480">
        <f>IF((P2480&gt;0),O2480,0)</f>
        <v>0</v>
      </c>
      <c t="str" r="S2480">
        <f>CONCATENATE(F2480,E2480)</f>
        <v>NON FTLNON FTL</v>
      </c>
    </row>
    <row r="2481">
      <c t="s" s="7" r="A2481">
        <v>201</v>
      </c>
      <c s="7" r="B2481">
        <v>2508</v>
      </c>
      <c s="30" r="C2481">
        <v>33</v>
      </c>
      <c t="s" s="30" r="D2481">
        <v>147</v>
      </c>
      <c t="s" s="30" r="E2481">
        <v>4</v>
      </c>
      <c t="s" s="30" r="F2481">
        <v>4</v>
      </c>
      <c t="s" s="30" r="G2481">
        <v>287</v>
      </c>
      <c t="str" s="12" r="H2481">
        <f>HYPERLINK("http://sofifa.com/en/fifa13winter/player/148682-paul-papp","P. Papp")</f>
        <v>P. Papp</v>
      </c>
      <c s="30" r="I2481">
        <v>72</v>
      </c>
      <c t="s" s="30" r="J2481">
        <v>113</v>
      </c>
      <c t="s" s="30" r="K2481">
        <v>134</v>
      </c>
      <c t="s" s="30" r="L2481">
        <v>153</v>
      </c>
      <c s="30" r="M2481">
        <v>22</v>
      </c>
      <c s="26" r="N2481">
        <v>2.8</v>
      </c>
      <c s="23" r="O2481">
        <v>0.008</v>
      </c>
      <c s="7" r="P2481"/>
      <c s="7" r="Q2481"/>
      <c s="7" r="R2481">
        <f>IF((P2481&gt;0),O2481,0)</f>
        <v>0</v>
      </c>
      <c t="str" r="S2481">
        <f>CONCATENATE(F2481,E2481)</f>
        <v>NON FTLNON FTL</v>
      </c>
    </row>
    <row r="2482">
      <c t="s" s="7" r="A2482">
        <v>201</v>
      </c>
      <c s="7" r="B2482">
        <v>2509</v>
      </c>
      <c s="30" r="C2482">
        <v>7</v>
      </c>
      <c t="s" s="30" r="D2482">
        <v>147</v>
      </c>
      <c t="s" s="30" r="E2482">
        <v>4</v>
      </c>
      <c t="s" s="30" r="F2482">
        <v>4</v>
      </c>
      <c t="s" s="30" r="G2482">
        <v>287</v>
      </c>
      <c t="str" s="12" r="H2482">
        <f>HYPERLINK("http://sofifa.com/en/fifa13winter/player/147840-felipe-seymour","F. Seymour")</f>
        <v>F. Seymour</v>
      </c>
      <c s="30" r="I2482">
        <v>73</v>
      </c>
      <c t="s" s="30" r="J2482">
        <v>124</v>
      </c>
      <c t="s" s="30" r="K2482">
        <v>182</v>
      </c>
      <c t="s" s="30" r="L2482">
        <v>122</v>
      </c>
      <c s="30" r="M2482">
        <v>25</v>
      </c>
      <c s="26" r="N2482">
        <v>3</v>
      </c>
      <c s="23" r="O2482">
        <v>0.01</v>
      </c>
      <c s="7" r="P2482"/>
      <c s="7" r="Q2482"/>
      <c s="7" r="R2482">
        <f>IF((P2482&gt;0),O2482,0)</f>
        <v>0</v>
      </c>
      <c t="str" r="S2482">
        <f>CONCATENATE(F2482,E2482)</f>
        <v>NON FTLNON FTL</v>
      </c>
    </row>
    <row r="2483">
      <c t="s" s="7" r="A2483">
        <v>201</v>
      </c>
      <c s="7" r="B2483">
        <v>2510</v>
      </c>
      <c s="30" r="C2483">
        <v>4</v>
      </c>
      <c t="s" s="30" r="D2483">
        <v>147</v>
      </c>
      <c t="s" s="30" r="E2483">
        <v>4</v>
      </c>
      <c t="s" s="30" r="F2483">
        <v>4</v>
      </c>
      <c t="s" s="30" r="G2483">
        <v>287</v>
      </c>
      <c t="str" s="12" r="H2483">
        <f>HYPERLINK("http://sofifa.com/en/fifa13winter/player/146458-nikos-spyropoulos","N. Spyropoulos")</f>
        <v>N. Spyropoulos</v>
      </c>
      <c s="30" r="I2483">
        <v>72</v>
      </c>
      <c t="s" s="30" r="J2483">
        <v>117</v>
      </c>
      <c t="s" s="30" r="K2483">
        <v>187</v>
      </c>
      <c t="s" s="30" r="L2483">
        <v>111</v>
      </c>
      <c s="30" r="M2483">
        <v>28</v>
      </c>
      <c s="26" r="N2483">
        <v>2.3</v>
      </c>
      <c s="23" r="O2483">
        <v>0.009</v>
      </c>
      <c s="7" r="P2483"/>
      <c s="7" r="Q2483"/>
      <c s="7" r="R2483">
        <f>IF((P2483&gt;0),O2483,0)</f>
        <v>0</v>
      </c>
      <c t="str" r="S2483">
        <f>CONCATENATE(F2483,E2483)</f>
        <v>NON FTLNON FTL</v>
      </c>
    </row>
    <row r="2484">
      <c t="s" s="7" r="A2484">
        <v>201</v>
      </c>
      <c s="7" r="B2484">
        <v>2511</v>
      </c>
      <c s="30" r="C2484">
        <v>18</v>
      </c>
      <c t="s" s="30" r="D2484">
        <v>147</v>
      </c>
      <c t="s" s="30" r="E2484">
        <v>4</v>
      </c>
      <c t="s" s="30" r="F2484">
        <v>4</v>
      </c>
      <c t="s" s="30" r="G2484">
        <v>287</v>
      </c>
      <c t="str" s="12" r="H2484">
        <f>HYPERLINK("http://sofifa.com/en/fifa13winter/player/143059-lorenzo-squizzi","L. Squizzi")</f>
        <v>L. Squizzi</v>
      </c>
      <c s="30" r="I2484">
        <v>71</v>
      </c>
      <c t="s" s="30" r="J2484">
        <v>106</v>
      </c>
      <c t="s" s="30" r="K2484">
        <v>144</v>
      </c>
      <c t="s" s="30" r="L2484">
        <v>191</v>
      </c>
      <c s="30" r="M2484">
        <v>38</v>
      </c>
      <c s="26" r="N2484">
        <v>0.8</v>
      </c>
      <c s="23" r="O2484">
        <v>0.01</v>
      </c>
      <c s="7" r="P2484"/>
      <c s="7" r="Q2484"/>
      <c s="7" r="R2484">
        <f>IF((P2484&gt;0),O2484,0)</f>
        <v>0</v>
      </c>
      <c t="str" r="S2484">
        <f>CONCATENATE(F2484,E2484)</f>
        <v>NON FTLNON FTL</v>
      </c>
    </row>
    <row r="2485">
      <c t="s" s="7" r="A2485">
        <v>201</v>
      </c>
      <c s="7" r="B2485">
        <v>2512</v>
      </c>
      <c s="30" r="C2485">
        <v>26</v>
      </c>
      <c t="s" s="30" r="D2485">
        <v>147</v>
      </c>
      <c t="s" s="30" r="E2485">
        <v>4</v>
      </c>
      <c t="s" s="30" r="F2485">
        <v>4</v>
      </c>
      <c t="s" s="30" r="G2485">
        <v>287</v>
      </c>
      <c t="str" s="12" r="H2485">
        <f>HYPERLINK("http://sofifa.com/en/fifa13winter/player/146992-pavol-farkas","P. Farkaš")</f>
        <v>P. Farkaš</v>
      </c>
      <c s="30" r="I2485">
        <v>73</v>
      </c>
      <c t="s" s="30" r="J2485">
        <v>113</v>
      </c>
      <c t="s" s="30" r="K2485">
        <v>165</v>
      </c>
      <c t="s" s="30" r="L2485">
        <v>183</v>
      </c>
      <c s="30" r="M2485">
        <v>27</v>
      </c>
      <c s="26" r="N2485">
        <v>2.9</v>
      </c>
      <c s="23" r="O2485">
        <v>0.01</v>
      </c>
      <c s="7" r="P2485"/>
      <c s="7" r="Q2485"/>
      <c s="7" r="R2485">
        <f>IF((P2485&gt;0),O2485,0)</f>
        <v>0</v>
      </c>
      <c t="str" r="S2485">
        <f>CONCATENATE(F2485,E2485)</f>
        <v>NON FTLNON FTL</v>
      </c>
    </row>
    <row r="2486">
      <c t="s" s="7" r="A2486">
        <v>201</v>
      </c>
      <c s="7" r="B2486">
        <v>2513</v>
      </c>
      <c s="30" r="C2486">
        <v>16</v>
      </c>
      <c t="s" s="30" r="D2486">
        <v>106</v>
      </c>
      <c t="s" s="30" r="E2486">
        <v>4</v>
      </c>
      <c t="s" s="30" r="F2486">
        <v>4</v>
      </c>
      <c t="s" s="30" r="G2486">
        <v>290</v>
      </c>
      <c t="str" s="12" r="H2486">
        <f>HYPERLINK("http://sofifa.com/en/fifa13winter/player/145809-cedric-carrasso","C. Carrasso")</f>
        <v>C. Carrasso</v>
      </c>
      <c s="30" r="I2486">
        <v>81</v>
      </c>
      <c t="s" s="30" r="J2486">
        <v>106</v>
      </c>
      <c t="s" s="30" r="K2486">
        <v>155</v>
      </c>
      <c t="s" s="30" r="L2486">
        <v>192</v>
      </c>
      <c s="30" r="M2486">
        <v>30</v>
      </c>
      <c s="26" r="N2486">
        <v>8.2</v>
      </c>
      <c s="23" r="O2486">
        <v>0.045</v>
      </c>
      <c s="7" r="P2486"/>
      <c s="7" r="Q2486"/>
      <c s="7" r="R2486">
        <f>IF((P2486&gt;0),O2486,0)</f>
        <v>0</v>
      </c>
      <c t="str" r="S2486">
        <f>CONCATENATE(F2486,E2486)</f>
        <v>NON FTLNON FTL</v>
      </c>
    </row>
    <row r="2487">
      <c t="s" s="7" r="A2487">
        <v>201</v>
      </c>
      <c s="7" r="B2487">
        <v>2514</v>
      </c>
      <c s="30" r="C2487">
        <v>25</v>
      </c>
      <c t="s" s="30" r="D2487">
        <v>109</v>
      </c>
      <c t="s" s="30" r="E2487">
        <v>4</v>
      </c>
      <c t="s" s="30" r="F2487">
        <v>4</v>
      </c>
      <c t="s" s="30" r="G2487">
        <v>290</v>
      </c>
      <c t="str" s="12" r="H2487">
        <f>HYPERLINK("http://sofifa.com/en/fifa13winter/player/147445-mariano-ferreira-filho","Mariano")</f>
        <v>Mariano</v>
      </c>
      <c s="30" r="I2487">
        <v>76</v>
      </c>
      <c t="s" s="30" r="J2487">
        <v>109</v>
      </c>
      <c t="s" s="30" r="K2487">
        <v>159</v>
      </c>
      <c t="s" s="30" r="L2487">
        <v>111</v>
      </c>
      <c s="30" r="M2487">
        <v>26</v>
      </c>
      <c s="26" r="N2487">
        <v>4.5</v>
      </c>
      <c s="23" r="O2487">
        <v>0.015</v>
      </c>
      <c s="7" r="P2487"/>
      <c s="7" r="Q2487"/>
      <c s="7" r="R2487">
        <f>IF((P2487&gt;0),O2487,0)</f>
        <v>0</v>
      </c>
      <c t="str" r="S2487">
        <f>CONCATENATE(F2487,E2487)</f>
        <v>NON FTLNON FTL</v>
      </c>
    </row>
    <row r="2488">
      <c t="s" s="7" r="A2488">
        <v>201</v>
      </c>
      <c s="7" r="B2488">
        <v>2515</v>
      </c>
      <c s="30" r="C2488">
        <v>6</v>
      </c>
      <c t="s" s="30" r="D2488">
        <v>112</v>
      </c>
      <c t="s" s="30" r="E2488">
        <v>4</v>
      </c>
      <c t="s" s="30" r="F2488">
        <v>4</v>
      </c>
      <c t="s" s="30" r="G2488">
        <v>290</v>
      </c>
      <c t="str" s="12" r="H2488">
        <f>HYPERLINK("http://sofifa.com/en/fifa13winter/player/147717-lamine-sane","L. Sané")</f>
        <v>L. Sané</v>
      </c>
      <c s="30" r="I2488">
        <v>76</v>
      </c>
      <c t="s" s="30" r="J2488">
        <v>113</v>
      </c>
      <c t="s" s="30" r="K2488">
        <v>165</v>
      </c>
      <c t="s" s="30" r="L2488">
        <v>138</v>
      </c>
      <c s="30" r="M2488">
        <v>25</v>
      </c>
      <c s="26" r="N2488">
        <v>4.9</v>
      </c>
      <c s="23" r="O2488">
        <v>0.015</v>
      </c>
      <c s="7" r="P2488"/>
      <c s="7" r="Q2488"/>
      <c s="7" r="R2488">
        <f>IF((P2488&gt;0),O2488,0)</f>
        <v>0</v>
      </c>
      <c t="str" r="S2488">
        <f>CONCATENATE(F2488,E2488)</f>
        <v>NON FTLNON FTL</v>
      </c>
    </row>
    <row r="2489">
      <c t="s" s="7" r="A2489">
        <v>201</v>
      </c>
      <c s="7" r="B2489">
        <v>2516</v>
      </c>
      <c s="30" r="C2489">
        <v>27</v>
      </c>
      <c t="s" s="30" r="D2489">
        <v>116</v>
      </c>
      <c t="s" s="30" r="E2489">
        <v>4</v>
      </c>
      <c t="s" s="30" r="F2489">
        <v>4</v>
      </c>
      <c t="s" s="30" r="G2489">
        <v>290</v>
      </c>
      <c t="str" s="12" r="H2489">
        <f>HYPERLINK("http://sofifa.com/en/fifa13winter/player/145876-marc-planus","M. Planus")</f>
        <v>M. Planus</v>
      </c>
      <c s="30" r="I2489">
        <v>73</v>
      </c>
      <c t="s" s="30" r="J2489">
        <v>113</v>
      </c>
      <c t="s" s="30" r="K2489">
        <v>114</v>
      </c>
      <c t="s" s="30" r="L2489">
        <v>193</v>
      </c>
      <c s="30" r="M2489">
        <v>30</v>
      </c>
      <c s="26" r="N2489">
        <v>2.5</v>
      </c>
      <c s="23" r="O2489">
        <v>0.011</v>
      </c>
      <c s="7" r="P2489"/>
      <c s="7" r="Q2489"/>
      <c s="7" r="R2489">
        <f>IF((P2489&gt;0),O2489,0)</f>
        <v>0</v>
      </c>
      <c t="str" r="S2489">
        <f>CONCATENATE(F2489,E2489)</f>
        <v>NON FTLNON FTL</v>
      </c>
    </row>
    <row r="2490">
      <c t="s" s="7" r="A2490">
        <v>201</v>
      </c>
      <c s="7" r="B2490">
        <v>2517</v>
      </c>
      <c s="30" r="C2490">
        <v>28</v>
      </c>
      <c t="s" s="30" r="D2490">
        <v>117</v>
      </c>
      <c t="s" s="30" r="E2490">
        <v>4</v>
      </c>
      <c t="s" s="30" r="F2490">
        <v>4</v>
      </c>
      <c t="s" s="30" r="G2490">
        <v>290</v>
      </c>
      <c t="str" s="12" r="H2490">
        <f>HYPERLINK("http://sofifa.com/en/fifa13winter/player/147268-benoit-tremoulinas","B. Trémoulinas")</f>
        <v>B. Trémoulinas</v>
      </c>
      <c s="30" r="I2490">
        <v>78</v>
      </c>
      <c t="s" s="30" r="J2490">
        <v>117</v>
      </c>
      <c t="s" s="30" r="K2490">
        <v>187</v>
      </c>
      <c t="s" s="30" r="L2490">
        <v>149</v>
      </c>
      <c s="30" r="M2490">
        <v>26</v>
      </c>
      <c s="26" r="N2490">
        <v>6</v>
      </c>
      <c s="23" r="O2490">
        <v>0.019</v>
      </c>
      <c s="7" r="P2490"/>
      <c s="7" r="Q2490"/>
      <c s="7" r="R2490">
        <f>IF((P2490&gt;0),O2490,0)</f>
        <v>0</v>
      </c>
      <c t="str" r="S2490">
        <f>CONCATENATE(F2490,E2490)</f>
        <v>NON FTLNON FTL</v>
      </c>
    </row>
    <row r="2491">
      <c t="s" s="7" r="A2491">
        <v>201</v>
      </c>
      <c s="7" r="B2491">
        <v>2518</v>
      </c>
      <c s="30" r="C2491">
        <v>18</v>
      </c>
      <c t="s" s="30" r="D2491">
        <v>186</v>
      </c>
      <c t="s" s="30" r="E2491">
        <v>4</v>
      </c>
      <c t="s" s="30" r="F2491">
        <v>4</v>
      </c>
      <c t="s" s="30" r="G2491">
        <v>290</v>
      </c>
      <c t="str" s="12" r="H2491">
        <f>HYPERLINK("http://sofifa.com/en/fifa13winter/player/145815-jaroslav-plasil","J. Plašil")</f>
        <v>J. Plašil</v>
      </c>
      <c s="30" r="I2491">
        <v>75</v>
      </c>
      <c t="s" s="30" r="J2491">
        <v>124</v>
      </c>
      <c t="s" s="30" r="K2491">
        <v>143</v>
      </c>
      <c t="s" s="30" r="L2491">
        <v>146</v>
      </c>
      <c s="30" r="M2491">
        <v>30</v>
      </c>
      <c s="26" r="N2491">
        <v>3.5</v>
      </c>
      <c s="23" r="O2491">
        <v>0.014</v>
      </c>
      <c s="7" r="P2491"/>
      <c s="7" r="Q2491"/>
      <c s="7" r="R2491">
        <f>IF((P2491&gt;0),O2491,0)</f>
        <v>0</v>
      </c>
      <c t="str" r="S2491">
        <f>CONCATENATE(F2491,E2491)</f>
        <v>NON FTLNON FTL</v>
      </c>
    </row>
    <row r="2492">
      <c t="s" s="7" r="A2492">
        <v>201</v>
      </c>
      <c s="7" r="B2492">
        <v>2519</v>
      </c>
      <c s="30" r="C2492">
        <v>26</v>
      </c>
      <c t="s" s="30" r="D2492">
        <v>174</v>
      </c>
      <c t="s" s="30" r="E2492">
        <v>4</v>
      </c>
      <c t="s" s="30" r="F2492">
        <v>4</v>
      </c>
      <c t="s" s="30" r="G2492">
        <v>290</v>
      </c>
      <c t="str" s="12" r="H2492">
        <f>HYPERLINK("http://sofifa.com/en/fifa13winter/player/148584-gregory-sertic","G. Sertic")</f>
        <v>G. Sertic</v>
      </c>
      <c s="30" r="I2492">
        <v>74</v>
      </c>
      <c t="s" s="30" r="J2492">
        <v>124</v>
      </c>
      <c t="s" s="30" r="K2492">
        <v>110</v>
      </c>
      <c t="s" s="30" r="L2492">
        <v>137</v>
      </c>
      <c s="30" r="M2492">
        <v>23</v>
      </c>
      <c s="26" r="N2492">
        <v>3.5</v>
      </c>
      <c s="23" r="O2492">
        <v>0.01</v>
      </c>
      <c s="7" r="P2492"/>
      <c s="7" r="Q2492"/>
      <c s="7" r="R2492">
        <f>IF((P2492&gt;0),O2492,0)</f>
        <v>0</v>
      </c>
      <c t="str" r="S2492">
        <f>CONCATENATE(F2492,E2492)</f>
        <v>NON FTLNON FTL</v>
      </c>
    </row>
    <row r="2493">
      <c t="s" s="7" r="A2493">
        <v>201</v>
      </c>
      <c s="7" r="B2493">
        <v>2520</v>
      </c>
      <c s="30" r="C2493">
        <v>20</v>
      </c>
      <c t="s" s="30" r="D2493">
        <v>120</v>
      </c>
      <c t="s" s="30" r="E2493">
        <v>4</v>
      </c>
      <c t="s" s="30" r="F2493">
        <v>4</v>
      </c>
      <c t="s" s="30" r="G2493">
        <v>290</v>
      </c>
      <c t="str" s="12" r="H2493">
        <f>HYPERLINK("http://sofifa.com/en/fifa13winter/player/149031-henri-saivet","H. Saivet")</f>
        <v>H. Saivet</v>
      </c>
      <c s="30" r="I2493">
        <v>74</v>
      </c>
      <c t="s" s="30" r="J2493">
        <v>120</v>
      </c>
      <c t="s" s="30" r="K2493">
        <v>139</v>
      </c>
      <c t="s" s="30" r="L2493">
        <v>119</v>
      </c>
      <c s="30" r="M2493">
        <v>21</v>
      </c>
      <c s="26" r="N2493">
        <v>3.9</v>
      </c>
      <c s="23" r="O2493">
        <v>0.009</v>
      </c>
      <c s="7" r="P2493"/>
      <c s="7" r="Q2493"/>
      <c s="7" r="R2493">
        <f>IF((P2493&gt;0),O2493,0)</f>
        <v>0</v>
      </c>
      <c t="str" r="S2493">
        <f>CONCATENATE(F2493,E2493)</f>
        <v>NON FTLNON FTL</v>
      </c>
    </row>
    <row r="2494">
      <c t="s" s="7" r="A2494">
        <v>201</v>
      </c>
      <c s="7" r="B2494">
        <v>2521</v>
      </c>
      <c s="30" r="C2494">
        <v>19</v>
      </c>
      <c t="s" s="30" r="D2494">
        <v>128</v>
      </c>
      <c t="s" s="30" r="E2494">
        <v>4</v>
      </c>
      <c t="s" s="30" r="F2494">
        <v>4</v>
      </c>
      <c t="s" s="30" r="G2494">
        <v>290</v>
      </c>
      <c t="str" s="12" r="H2494">
        <f>HYPERLINK("http://sofifa.com/en/fifa13winter/player/147015-nicolas-maurice-belay","N. Maurice-Belay")</f>
        <v>N. Maurice-Belay</v>
      </c>
      <c s="30" r="I2494">
        <v>71</v>
      </c>
      <c t="s" s="30" r="J2494">
        <v>128</v>
      </c>
      <c t="s" s="30" r="K2494">
        <v>143</v>
      </c>
      <c t="s" s="30" r="L2494">
        <v>153</v>
      </c>
      <c s="30" r="M2494">
        <v>27</v>
      </c>
      <c s="26" r="N2494">
        <v>2.2</v>
      </c>
      <c s="23" r="O2494">
        <v>0.008</v>
      </c>
      <c s="7" r="P2494"/>
      <c s="7" r="Q2494"/>
      <c s="7" r="R2494">
        <f>IF((P2494&gt;0),O2494,0)</f>
        <v>0</v>
      </c>
      <c t="str" r="S2494">
        <f>CONCATENATE(F2494,E2494)</f>
        <v>NON FTLNON FTL</v>
      </c>
    </row>
    <row r="2495">
      <c t="s" s="7" r="A2495">
        <v>201</v>
      </c>
      <c s="7" r="B2495">
        <v>2522</v>
      </c>
      <c s="30" r="C2495">
        <v>4</v>
      </c>
      <c t="s" s="30" r="D2495">
        <v>162</v>
      </c>
      <c t="s" s="30" r="E2495">
        <v>4</v>
      </c>
      <c t="s" s="30" r="F2495">
        <v>4</v>
      </c>
      <c t="s" s="30" r="G2495">
        <v>290</v>
      </c>
      <c t="str" s="12" r="H2495">
        <f>HYPERLINK("http://sofifa.com/en/fifa13winter/player/146855-ludovic-obraniak","L. Obraniak")</f>
        <v>L. Obraniak</v>
      </c>
      <c s="30" r="I2495">
        <v>77</v>
      </c>
      <c t="s" s="30" r="J2495">
        <v>120</v>
      </c>
      <c t="s" s="30" r="K2495">
        <v>182</v>
      </c>
      <c t="s" s="30" r="L2495">
        <v>146</v>
      </c>
      <c s="30" r="M2495">
        <v>27</v>
      </c>
      <c s="26" r="N2495">
        <v>5.8</v>
      </c>
      <c s="23" r="O2495">
        <v>0.017</v>
      </c>
      <c s="7" r="P2495"/>
      <c s="7" r="Q2495"/>
      <c s="7" r="R2495">
        <f>IF((P2495&gt;0),O2495,0)</f>
        <v>0</v>
      </c>
      <c t="str" r="S2495">
        <f>CONCATENATE(F2495,E2495)</f>
        <v>NON FTLNON FTL</v>
      </c>
    </row>
    <row r="2496">
      <c t="s" s="7" r="A2496">
        <v>201</v>
      </c>
      <c s="7" r="B2496">
        <v>2523</v>
      </c>
      <c s="30" r="C2496">
        <v>14</v>
      </c>
      <c t="s" s="30" r="D2496">
        <v>129</v>
      </c>
      <c t="s" s="30" r="E2496">
        <v>4</v>
      </c>
      <c t="s" s="30" r="F2496">
        <v>4</v>
      </c>
      <c t="s" s="30" r="G2496">
        <v>290</v>
      </c>
      <c t="str" s="12" r="H2496">
        <f>HYPERLINK("http://sofifa.com/en/fifa13winter/player/148117-cheick-diabate","C. Diabaté")</f>
        <v>C. Diabaté</v>
      </c>
      <c s="30" r="I2496">
        <v>75</v>
      </c>
      <c t="s" s="30" r="J2496">
        <v>129</v>
      </c>
      <c t="s" s="30" r="K2496">
        <v>188</v>
      </c>
      <c t="s" s="30" r="L2496">
        <v>175</v>
      </c>
      <c s="30" r="M2496">
        <v>24</v>
      </c>
      <c s="26" r="N2496">
        <v>5.5</v>
      </c>
      <c s="23" r="O2496">
        <v>0.013</v>
      </c>
      <c s="7" r="P2496"/>
      <c s="7" r="Q2496"/>
      <c s="7" r="R2496">
        <f>IF((P2496&gt;0),O2496,0)</f>
        <v>0</v>
      </c>
      <c t="str" r="S2496">
        <f>CONCATENATE(F2496,E2496)</f>
        <v>NON FTLNON FTL</v>
      </c>
    </row>
    <row r="2497">
      <c t="s" s="7" r="A2497">
        <v>201</v>
      </c>
      <c s="7" r="B2497">
        <v>2524</v>
      </c>
      <c s="30" r="C2497">
        <v>17</v>
      </c>
      <c t="s" s="30" r="D2497">
        <v>136</v>
      </c>
      <c t="s" s="30" r="E2497">
        <v>4</v>
      </c>
      <c t="s" s="30" r="F2497">
        <v>4</v>
      </c>
      <c t="s" s="30" r="G2497">
        <v>290</v>
      </c>
      <c t="str" s="12" r="H2497">
        <f>HYPERLINK("http://sofifa.com/en/fifa13winter/player/149894-andre-biyogo-poko","A. Biyogo Poko")</f>
        <v>A. Biyogo Poko</v>
      </c>
      <c s="30" r="I2497">
        <v>68</v>
      </c>
      <c t="s" s="30" r="J2497">
        <v>154</v>
      </c>
      <c t="s" s="30" r="K2497">
        <v>130</v>
      </c>
      <c t="s" s="30" r="L2497">
        <v>146</v>
      </c>
      <c s="30" r="M2497">
        <v>19</v>
      </c>
      <c s="26" r="N2497">
        <v>1.7</v>
      </c>
      <c s="23" r="O2497">
        <v>0.005</v>
      </c>
      <c s="7" r="P2497"/>
      <c s="7" r="Q2497"/>
      <c s="7" r="R2497">
        <f>IF((P2497&gt;0),O2497,0)</f>
        <v>0</v>
      </c>
      <c t="str" r="S2497">
        <f>CONCATENATE(F2497,E2497)</f>
        <v>NON FTLNON FTL</v>
      </c>
    </row>
    <row r="2498">
      <c t="s" s="7" r="A2498">
        <v>201</v>
      </c>
      <c s="7" r="B2498">
        <v>2525</v>
      </c>
      <c s="30" r="C2498">
        <v>29</v>
      </c>
      <c t="s" s="30" r="D2498">
        <v>136</v>
      </c>
      <c t="s" s="30" r="E2498">
        <v>4</v>
      </c>
      <c t="s" s="30" r="F2498">
        <v>4</v>
      </c>
      <c t="s" s="30" r="G2498">
        <v>290</v>
      </c>
      <c t="str" s="12" r="H2498">
        <f>HYPERLINK("http://sofifa.com/en/fifa13winter/player/149691-maxime-poundje","M. Poundjé")</f>
        <v>M. Poundjé</v>
      </c>
      <c s="30" r="I2498">
        <v>67</v>
      </c>
      <c t="s" s="30" r="J2498">
        <v>117</v>
      </c>
      <c t="s" s="30" r="K2498">
        <v>145</v>
      </c>
      <c t="s" s="30" r="L2498">
        <v>142</v>
      </c>
      <c s="30" r="M2498">
        <v>20</v>
      </c>
      <c s="26" r="N2498">
        <v>1.4</v>
      </c>
      <c s="23" r="O2498">
        <v>0.005</v>
      </c>
      <c s="7" r="P2498"/>
      <c s="7" r="Q2498"/>
      <c s="7" r="R2498">
        <f>IF((P2498&gt;0),O2498,0)</f>
        <v>0</v>
      </c>
      <c t="str" r="S2498">
        <f>CONCATENATE(F2498,E2498)</f>
        <v>NON FTLNON FTL</v>
      </c>
    </row>
    <row r="2499">
      <c t="s" s="7" r="A2499">
        <v>201</v>
      </c>
      <c s="7" r="B2499">
        <v>2526</v>
      </c>
      <c s="30" r="C2499">
        <v>24</v>
      </c>
      <c t="s" s="30" r="D2499">
        <v>136</v>
      </c>
      <c t="s" s="30" r="E2499">
        <v>4</v>
      </c>
      <c t="s" s="30" r="F2499">
        <v>4</v>
      </c>
      <c t="s" s="30" r="G2499">
        <v>290</v>
      </c>
      <c t="str" s="12" r="H2499">
        <f>HYPERLINK("http://sofifa.com/en/fifa13winter/player/148018-abdou-traore","A. Traoré")</f>
        <v>A. Traoré</v>
      </c>
      <c s="30" r="I2499">
        <v>67</v>
      </c>
      <c t="s" s="30" r="J2499">
        <v>120</v>
      </c>
      <c t="s" s="30" r="K2499">
        <v>114</v>
      </c>
      <c t="s" s="30" r="L2499">
        <v>158</v>
      </c>
      <c s="30" r="M2499">
        <v>24</v>
      </c>
      <c s="26" r="N2499">
        <v>1.5</v>
      </c>
      <c s="23" r="O2499">
        <v>0.006</v>
      </c>
      <c s="7" r="P2499"/>
      <c s="7" r="Q2499"/>
      <c s="7" r="R2499">
        <f>IF((P2499&gt;0),O2499,0)</f>
        <v>0</v>
      </c>
      <c t="str" r="S2499">
        <f>CONCATENATE(F2499,E2499)</f>
        <v>NON FTLNON FTL</v>
      </c>
    </row>
    <row r="2500">
      <c t="s" s="7" r="A2500">
        <v>201</v>
      </c>
      <c s="7" r="B2500">
        <v>2527</v>
      </c>
      <c s="30" r="C2500">
        <v>13</v>
      </c>
      <c t="s" s="30" r="D2500">
        <v>136</v>
      </c>
      <c t="s" s="30" r="E2500">
        <v>4</v>
      </c>
      <c t="s" s="30" r="F2500">
        <v>4</v>
      </c>
      <c t="s" s="30" r="G2500">
        <v>290</v>
      </c>
      <c t="str" s="12" r="H2500">
        <f>HYPERLINK("http://sofifa.com/en/fifa13winter/player/149596-evan-chevalier","E. Chevalier")</f>
        <v>E. Chevalier</v>
      </c>
      <c s="30" r="I2500">
        <v>62</v>
      </c>
      <c t="s" s="30" r="J2500">
        <v>128</v>
      </c>
      <c t="s" s="30" r="K2500">
        <v>139</v>
      </c>
      <c t="s" s="30" r="L2500">
        <v>127</v>
      </c>
      <c s="30" r="M2500">
        <v>20</v>
      </c>
      <c s="26" r="N2500">
        <v>0.8</v>
      </c>
      <c s="23" r="O2500">
        <v>0.003</v>
      </c>
      <c s="7" r="P2500"/>
      <c s="7" r="Q2500"/>
      <c s="7" r="R2500">
        <f>IF((P2500&gt;0),O2500,0)</f>
        <v>0</v>
      </c>
      <c t="str" r="S2500">
        <f>CONCATENATE(F2500,E2500)</f>
        <v>NON FTLNON FTL</v>
      </c>
    </row>
    <row r="2501">
      <c t="s" s="7" r="A2501">
        <v>201</v>
      </c>
      <c s="7" r="B2501">
        <v>2528</v>
      </c>
      <c s="30" r="C2501">
        <v>11</v>
      </c>
      <c t="s" s="30" r="D2501">
        <v>136</v>
      </c>
      <c t="s" s="30" r="E2501">
        <v>4</v>
      </c>
      <c t="s" s="30" r="F2501">
        <v>4</v>
      </c>
      <c t="s" s="30" r="G2501">
        <v>290</v>
      </c>
      <c t="str" s="12" r="H2501">
        <f>HYPERLINK("http://sofifa.com/en/fifa13winter/player/146141-david-bellion","D. Bellion")</f>
        <v>D. Bellion</v>
      </c>
      <c s="30" r="I2501">
        <v>68</v>
      </c>
      <c t="s" s="30" r="J2501">
        <v>129</v>
      </c>
      <c t="s" s="30" r="K2501">
        <v>150</v>
      </c>
      <c t="s" s="30" r="L2501">
        <v>161</v>
      </c>
      <c s="30" r="M2501">
        <v>29</v>
      </c>
      <c s="26" r="N2501">
        <v>1.7</v>
      </c>
      <c s="23" r="O2501">
        <v>0.006</v>
      </c>
      <c s="7" r="P2501"/>
      <c s="7" r="Q2501"/>
      <c s="7" r="R2501">
        <f>IF((P2501&gt;0),O2501,0)</f>
        <v>0</v>
      </c>
      <c t="str" r="S2501">
        <f>CONCATENATE(F2501,E2501)</f>
        <v>NON FTLNON FTL</v>
      </c>
    </row>
    <row r="2502">
      <c t="s" s="7" r="A2502">
        <v>201</v>
      </c>
      <c s="7" r="B2502">
        <v>2529</v>
      </c>
      <c s="30" r="C2502">
        <v>8</v>
      </c>
      <c t="s" s="30" r="D2502">
        <v>136</v>
      </c>
      <c t="s" s="30" r="E2502">
        <v>4</v>
      </c>
      <c t="s" s="30" r="F2502">
        <v>4</v>
      </c>
      <c t="s" s="30" r="G2502">
        <v>290</v>
      </c>
      <c t="str" s="12" r="H2502">
        <f>HYPERLINK("http://sofifa.com/en/fifa13winter/player/146092-fahid-ben-khalfallah","F. Ben Khalfallah")</f>
        <v>F. Ben Khalfallah</v>
      </c>
      <c s="30" r="I2502">
        <v>71</v>
      </c>
      <c t="s" s="30" r="J2502">
        <v>120</v>
      </c>
      <c t="s" s="30" r="K2502">
        <v>121</v>
      </c>
      <c t="s" s="30" r="L2502">
        <v>146</v>
      </c>
      <c s="30" r="M2502">
        <v>29</v>
      </c>
      <c s="26" r="N2502">
        <v>2.1</v>
      </c>
      <c s="23" r="O2502">
        <v>0.008</v>
      </c>
      <c s="7" r="P2502"/>
      <c s="7" r="Q2502"/>
      <c s="7" r="R2502">
        <f>IF((P2502&gt;0),O2502,0)</f>
        <v>0</v>
      </c>
      <c t="str" r="S2502">
        <f>CONCATENATE(F2502,E2502)</f>
        <v>NON FTLNON FTL</v>
      </c>
    </row>
    <row r="2503">
      <c t="s" s="7" r="A2503">
        <v>201</v>
      </c>
      <c s="7" r="B2503">
        <v>2530</v>
      </c>
      <c s="30" r="C2503">
        <v>3</v>
      </c>
      <c t="s" s="30" r="D2503">
        <v>136</v>
      </c>
      <c t="s" s="30" r="E2503">
        <v>4</v>
      </c>
      <c t="s" s="30" r="F2503">
        <v>4</v>
      </c>
      <c t="s" s="30" r="G2503">
        <v>290</v>
      </c>
      <c t="str" s="12" r="H2503">
        <f>HYPERLINK("http://sofifa.com/en/fifa13winter/player/146297-carlos-henrique-dos-santos-souza","Henrique")</f>
        <v>Henrique</v>
      </c>
      <c s="30" r="I2503">
        <v>75</v>
      </c>
      <c t="s" s="30" r="J2503">
        <v>113</v>
      </c>
      <c t="s" s="30" r="K2503">
        <v>169</v>
      </c>
      <c t="s" s="30" r="L2503">
        <v>192</v>
      </c>
      <c s="30" r="M2503">
        <v>29</v>
      </c>
      <c s="26" r="N2503">
        <v>3.7</v>
      </c>
      <c s="23" r="O2503">
        <v>0.014</v>
      </c>
      <c s="7" r="P2503"/>
      <c s="7" r="Q2503"/>
      <c s="7" r="R2503">
        <f>IF((P2503&gt;0),O2503,0)</f>
        <v>0</v>
      </c>
      <c t="str" r="S2503">
        <f>CONCATENATE(F2503,E2503)</f>
        <v>NON FTLNON FTL</v>
      </c>
    </row>
    <row r="2504">
      <c t="s" s="7" r="A2504">
        <v>201</v>
      </c>
      <c s="7" r="B2504">
        <v>2531</v>
      </c>
      <c s="30" r="C2504">
        <v>22</v>
      </c>
      <c t="s" s="30" r="D2504">
        <v>136</v>
      </c>
      <c t="s" s="30" r="E2504">
        <v>4</v>
      </c>
      <c t="s" s="30" r="F2504">
        <v>4</v>
      </c>
      <c t="s" s="30" r="G2504">
        <v>290</v>
      </c>
      <c t="str" s="12" r="H2504">
        <f>HYPERLINK("http://sofifa.com/en/fifa13winter/player/146388-julien-faubert","J. Faubert")</f>
        <v>J. Faubert</v>
      </c>
      <c s="30" r="I2504">
        <v>69</v>
      </c>
      <c t="s" s="30" r="J2504">
        <v>120</v>
      </c>
      <c t="s" s="30" r="K2504">
        <v>114</v>
      </c>
      <c t="s" s="30" r="L2504">
        <v>151</v>
      </c>
      <c s="30" r="M2504">
        <v>29</v>
      </c>
      <c s="26" r="N2504">
        <v>1.6</v>
      </c>
      <c s="23" r="O2504">
        <v>0.007</v>
      </c>
      <c s="7" r="P2504"/>
      <c s="7" r="Q2504"/>
      <c s="7" r="R2504">
        <f>IF((P2504&gt;0),O2504,0)</f>
        <v>0</v>
      </c>
      <c t="str" r="S2504">
        <f>CONCATENATE(F2504,E2504)</f>
        <v>NON FTLNON FTL</v>
      </c>
    </row>
    <row r="2505">
      <c t="s" s="7" r="A2505">
        <v>201</v>
      </c>
      <c s="7" r="B2505">
        <v>2532</v>
      </c>
      <c s="30" r="C2505">
        <v>23</v>
      </c>
      <c t="s" s="30" r="D2505">
        <v>136</v>
      </c>
      <c t="s" s="30" r="E2505">
        <v>4</v>
      </c>
      <c t="s" s="30" r="F2505">
        <v>4</v>
      </c>
      <c t="s" s="30" r="G2505">
        <v>290</v>
      </c>
      <c t="str" s="12" r="H2505">
        <f>HYPERLINK("http://sofifa.com/en/fifa13winter/player/147333-florian-marange","F. Marange")</f>
        <v>F. Marange</v>
      </c>
      <c s="30" r="I2505">
        <v>70</v>
      </c>
      <c t="s" s="30" r="J2505">
        <v>113</v>
      </c>
      <c t="s" s="30" r="K2505">
        <v>150</v>
      </c>
      <c t="s" s="30" r="L2505">
        <v>161</v>
      </c>
      <c s="30" r="M2505">
        <v>26</v>
      </c>
      <c s="26" r="N2505">
        <v>1.8</v>
      </c>
      <c s="23" r="O2505">
        <v>0.007</v>
      </c>
      <c s="7" r="P2505"/>
      <c s="7" r="Q2505"/>
      <c s="7" r="R2505">
        <f>IF((P2505&gt;0),O2505,0)</f>
        <v>0</v>
      </c>
      <c t="str" r="S2505">
        <f>CONCATENATE(F2505,E2505)</f>
        <v>NON FTLNON FTL</v>
      </c>
    </row>
    <row r="2506">
      <c t="s" s="7" r="A2506">
        <v>201</v>
      </c>
      <c s="7" r="B2506">
        <v>2533</v>
      </c>
      <c s="30" r="C2506">
        <v>7</v>
      </c>
      <c t="s" s="30" r="D2506">
        <v>136</v>
      </c>
      <c t="s" s="30" r="E2506">
        <v>4</v>
      </c>
      <c t="s" s="30" r="F2506">
        <v>4</v>
      </c>
      <c t="s" s="30" r="G2506">
        <v>290</v>
      </c>
      <c t="str" s="12" r="H2506">
        <f>HYPERLINK("http://sofifa.com/en/fifa13winter/player/147238-landry-nguemo","L. N'Guemo")</f>
        <v>L. N'Guemo</v>
      </c>
      <c s="30" r="I2506">
        <v>73</v>
      </c>
      <c t="s" s="30" r="J2506">
        <v>154</v>
      </c>
      <c t="s" s="30" r="K2506">
        <v>130</v>
      </c>
      <c t="s" s="30" r="L2506">
        <v>122</v>
      </c>
      <c s="30" r="M2506">
        <v>26</v>
      </c>
      <c s="26" r="N2506">
        <v>2.8</v>
      </c>
      <c s="23" r="O2506">
        <v>0.01</v>
      </c>
      <c s="7" r="P2506"/>
      <c s="7" r="Q2506"/>
      <c s="7" r="R2506">
        <f>IF((P2506&gt;0),O2506,0)</f>
        <v>0</v>
      </c>
      <c t="str" r="S2506">
        <f>CONCATENATE(F2506,E2506)</f>
        <v>NON FTLNON FTL</v>
      </c>
    </row>
    <row r="2507">
      <c t="s" s="7" r="A2507">
        <v>201</v>
      </c>
      <c s="7" r="B2507">
        <v>2534</v>
      </c>
      <c s="30" r="C2507">
        <v>30</v>
      </c>
      <c t="s" s="30" r="D2507">
        <v>136</v>
      </c>
      <c t="s" s="30" r="E2507">
        <v>4</v>
      </c>
      <c t="s" s="30" r="F2507">
        <v>4</v>
      </c>
      <c t="s" s="30" r="G2507">
        <v>290</v>
      </c>
      <c t="str" s="12" r="H2507">
        <f>HYPERLINK("http://sofifa.com/en/fifa13winter/player/148071-kevin-olimpa","K. Olimpa")</f>
        <v>K. Olimpa</v>
      </c>
      <c s="30" r="I2507">
        <v>63</v>
      </c>
      <c t="s" s="30" r="J2507">
        <v>106</v>
      </c>
      <c t="s" s="30" r="K2507">
        <v>173</v>
      </c>
      <c t="s" s="30" r="L2507">
        <v>135</v>
      </c>
      <c s="30" r="M2507">
        <v>24</v>
      </c>
      <c s="26" r="N2507">
        <v>0.7</v>
      </c>
      <c s="23" r="O2507">
        <v>0.004</v>
      </c>
      <c s="7" r="P2507"/>
      <c s="7" r="Q2507"/>
      <c s="7" r="R2507">
        <f>IF((P2507&gt;0),O2507,0)</f>
        <v>0</v>
      </c>
      <c t="str" r="S2507">
        <f>CONCATENATE(F2507,E2507)</f>
        <v>NON FTLNON FTL</v>
      </c>
    </row>
    <row r="2508">
      <c t="s" s="7" r="A2508">
        <v>201</v>
      </c>
      <c s="7" r="B2508">
        <v>2535</v>
      </c>
      <c s="30" r="C2508">
        <v>9</v>
      </c>
      <c t="s" s="30" r="D2508">
        <v>136</v>
      </c>
      <c t="s" s="30" r="E2508">
        <v>4</v>
      </c>
      <c t="s" s="30" r="F2508">
        <v>4</v>
      </c>
      <c t="s" s="30" r="G2508">
        <v>290</v>
      </c>
      <c t="str" s="12" r="H2508">
        <f>HYPERLINK("http://sofifa.com/en/fifa13winter/player/149911-diego-rolan","D. Rolán")</f>
        <v>D. Rolán</v>
      </c>
      <c s="30" r="I2508">
        <v>69</v>
      </c>
      <c t="s" s="30" r="J2508">
        <v>129</v>
      </c>
      <c t="s" s="30" r="K2508">
        <v>172</v>
      </c>
      <c t="s" s="30" r="L2508">
        <v>111</v>
      </c>
      <c s="30" r="M2508">
        <v>19</v>
      </c>
      <c s="26" r="N2508">
        <v>2.4</v>
      </c>
      <c s="23" r="O2508">
        <v>0.005</v>
      </c>
      <c s="7" r="P2508"/>
      <c s="7" r="Q2508"/>
      <c s="7" r="R2508">
        <f>IF((P2508&gt;0),O2508,0)</f>
        <v>0</v>
      </c>
      <c t="str" r="S2508">
        <f>CONCATENATE(F2508,E2508)</f>
        <v>NON FTLNON FTL</v>
      </c>
    </row>
    <row r="2509">
      <c t="s" s="7" r="A2509">
        <v>201</v>
      </c>
      <c s="7" r="B2509">
        <v>2536</v>
      </c>
      <c s="30" r="C2509">
        <v>1</v>
      </c>
      <c t="s" s="30" r="D2509">
        <v>147</v>
      </c>
      <c t="s" s="30" r="E2509">
        <v>4</v>
      </c>
      <c t="s" s="30" r="F2509">
        <v>4</v>
      </c>
      <c t="s" s="30" r="G2509">
        <v>290</v>
      </c>
      <c t="str" s="12" r="H2509">
        <f>HYPERLINK("http://sofifa.com/en/fifa13winter/player/148960-abdoulaye-keita","A. Keita")</f>
        <v>A. Keita</v>
      </c>
      <c s="30" r="I2509">
        <v>64</v>
      </c>
      <c t="s" s="30" r="J2509">
        <v>106</v>
      </c>
      <c t="s" s="30" r="K2509">
        <v>134</v>
      </c>
      <c t="s" s="30" r="L2509">
        <v>191</v>
      </c>
      <c s="30" r="M2509">
        <v>22</v>
      </c>
      <c s="26" r="N2509">
        <v>0.8</v>
      </c>
      <c s="23" r="O2509">
        <v>0.004</v>
      </c>
      <c s="7" r="P2509"/>
      <c s="7" r="Q2509"/>
      <c s="7" r="R2509">
        <f>IF((P2509&gt;0),O2509,0)</f>
        <v>0</v>
      </c>
      <c t="str" r="S2509">
        <f>CONCATENATE(F2509,E2509)</f>
        <v>NON FTLNON FTL</v>
      </c>
    </row>
    <row r="2510">
      <c t="s" s="7" r="A2510">
        <v>201</v>
      </c>
      <c s="7" r="B2510">
        <v>2537</v>
      </c>
      <c s="30" r="C2510">
        <v>40</v>
      </c>
      <c t="s" s="30" r="D2510">
        <v>147</v>
      </c>
      <c t="s" s="30" r="E2510">
        <v>4</v>
      </c>
      <c t="s" s="30" r="F2510">
        <v>4</v>
      </c>
      <c t="s" s="30" r="G2510">
        <v>290</v>
      </c>
      <c t="str" s="12" r="H2510">
        <f>HYPERLINK("http://sofifa.com/en/fifa13winter/player/149525-azbe-jug","A. Jug")</f>
        <v>A. Jug</v>
      </c>
      <c s="30" r="I2510">
        <v>59</v>
      </c>
      <c t="s" s="30" r="J2510">
        <v>106</v>
      </c>
      <c t="s" s="30" r="K2510">
        <v>144</v>
      </c>
      <c t="s" s="30" r="L2510">
        <v>135</v>
      </c>
      <c s="30" r="M2510">
        <v>20</v>
      </c>
      <c s="26" r="N2510">
        <v>0.4</v>
      </c>
      <c s="23" r="O2510">
        <v>0.002</v>
      </c>
      <c s="7" r="P2510"/>
      <c s="7" r="Q2510"/>
      <c s="7" r="R2510">
        <f>IF((P2510&gt;0),O2510,0)</f>
        <v>0</v>
      </c>
      <c t="str" r="S2510">
        <f>CONCATENATE(F2510,E2510)</f>
        <v>NON FTLNON FTL</v>
      </c>
    </row>
    <row r="2511">
      <c t="s" s="7" r="A2511">
        <v>201</v>
      </c>
      <c s="7" r="B2511">
        <v>2538</v>
      </c>
      <c s="30" r="C2511">
        <v>12</v>
      </c>
      <c t="s" s="30" r="D2511">
        <v>147</v>
      </c>
      <c t="s" s="30" r="E2511">
        <v>4</v>
      </c>
      <c t="s" s="30" r="F2511">
        <v>4</v>
      </c>
      <c t="s" s="30" r="G2511">
        <v>290</v>
      </c>
      <c t="str" s="12" r="H2511">
        <f>HYPERLINK("http://sofifa.com/en/fifa13winter/player/150276-hadi-sacko","H. Sacko")</f>
        <v>H. Sacko</v>
      </c>
      <c s="30" r="I2511">
        <v>61</v>
      </c>
      <c t="s" s="30" r="J2511">
        <v>157</v>
      </c>
      <c t="s" s="30" r="K2511">
        <v>110</v>
      </c>
      <c t="s" s="30" r="L2511">
        <v>158</v>
      </c>
      <c s="30" r="M2511">
        <v>18</v>
      </c>
      <c s="26" r="N2511">
        <v>0.7</v>
      </c>
      <c s="23" r="O2511">
        <v>0.003</v>
      </c>
      <c s="7" r="P2511"/>
      <c s="7" r="Q2511"/>
      <c s="7" r="R2511">
        <f>IF((P2511&gt;0),O2511,0)</f>
        <v>0</v>
      </c>
      <c t="str" r="S2511">
        <f>CONCATENATE(F2511,E2511)</f>
        <v>NON FTLNON FTL</v>
      </c>
    </row>
    <row r="2512">
      <c t="s" s="7" r="A2512">
        <v>201</v>
      </c>
      <c s="7" r="B2512">
        <v>2539</v>
      </c>
      <c s="30" r="C2512">
        <v>33</v>
      </c>
      <c t="s" s="30" r="D2512">
        <v>147</v>
      </c>
      <c t="s" s="30" r="E2512">
        <v>4</v>
      </c>
      <c t="s" s="30" r="F2512">
        <v>4</v>
      </c>
      <c t="s" s="30" r="G2512">
        <v>290</v>
      </c>
      <c t="str" s="12" r="H2512">
        <f>HYPERLINK("http://sofifa.com/en/fifa13winter/player/150316-gaetan-laborde","G. Laborde")</f>
        <v>G. Laborde</v>
      </c>
      <c s="30" r="I2512">
        <v>59</v>
      </c>
      <c t="s" s="30" r="J2512">
        <v>129</v>
      </c>
      <c t="s" s="30" r="K2512">
        <v>114</v>
      </c>
      <c t="s" s="30" r="L2512">
        <v>151</v>
      </c>
      <c s="30" r="M2512">
        <v>18</v>
      </c>
      <c s="26" r="N2512">
        <v>0.5</v>
      </c>
      <c s="23" r="O2512">
        <v>0.002</v>
      </c>
      <c s="7" r="P2512"/>
      <c s="7" r="Q2512"/>
      <c s="7" r="R2512">
        <f>IF((P2512&gt;0),O2512,0)</f>
        <v>0</v>
      </c>
      <c t="str" r="S2512">
        <f>CONCATENATE(F2512,E2512)</f>
        <v>NON FTLNON FTL</v>
      </c>
    </row>
    <row r="2513">
      <c t="s" s="7" r="A2513">
        <v>201</v>
      </c>
      <c s="7" r="B2513">
        <v>2540</v>
      </c>
      <c s="30" r="C2513">
        <v>1</v>
      </c>
      <c t="s" s="30" r="D2513">
        <v>106</v>
      </c>
      <c t="s" s="30" r="E2513">
        <v>4</v>
      </c>
      <c t="s" s="30" r="F2513">
        <v>4</v>
      </c>
      <c t="s" s="30" r="G2513">
        <v>291</v>
      </c>
      <c t="str" s="12" r="H2513">
        <f>HYPERLINK("http://sofifa.com/en/fifa13winter/player/145824-victor-valdes-arribas","Victor Valdés")</f>
        <v>Victor Valdés</v>
      </c>
      <c s="30" r="I2513">
        <v>84</v>
      </c>
      <c t="s" s="30" r="J2513">
        <v>106</v>
      </c>
      <c t="s" s="30" r="K2513">
        <v>110</v>
      </c>
      <c t="s" s="30" r="L2513">
        <v>161</v>
      </c>
      <c s="30" r="M2513">
        <v>30</v>
      </c>
      <c s="26" r="N2513">
        <v>12.2</v>
      </c>
      <c s="23" r="O2513">
        <v>0.093</v>
      </c>
      <c s="7" r="P2513"/>
      <c s="7" r="Q2513"/>
      <c s="7" r="R2513">
        <f>IF((P2513&gt;0),O2513,0)</f>
        <v>0</v>
      </c>
      <c t="str" r="S2513">
        <f>CONCATENATE(F2513,E2513)</f>
        <v>NON FTLNON FTL</v>
      </c>
    </row>
    <row r="2514">
      <c t="s" s="7" r="A2514">
        <v>201</v>
      </c>
      <c s="7" r="B2514">
        <v>2541</v>
      </c>
      <c s="30" r="C2514">
        <v>2</v>
      </c>
      <c t="s" s="30" r="D2514">
        <v>109</v>
      </c>
      <c t="s" s="30" r="E2514">
        <v>4</v>
      </c>
      <c t="s" s="30" r="F2514">
        <v>4</v>
      </c>
      <c t="s" s="30" r="G2514">
        <v>291</v>
      </c>
      <c t="str" s="12" r="H2514">
        <f>HYPERLINK("http://sofifa.com/en/fifa13winter/player/146301-daniel-alves-da-silva","Dani Alves")</f>
        <v>Dani Alves</v>
      </c>
      <c s="30" r="I2514">
        <v>84</v>
      </c>
      <c t="s" s="30" r="J2514">
        <v>109</v>
      </c>
      <c t="s" s="30" r="K2514">
        <v>130</v>
      </c>
      <c t="s" s="30" r="L2514">
        <v>141</v>
      </c>
      <c s="30" r="M2514">
        <v>29</v>
      </c>
      <c s="26" r="N2514">
        <v>15.3</v>
      </c>
      <c s="23" r="O2514">
        <v>0.09</v>
      </c>
      <c s="7" r="P2514"/>
      <c s="7" r="Q2514"/>
      <c s="7" r="R2514">
        <f>IF((P2514&gt;0),O2514,0)</f>
        <v>0</v>
      </c>
      <c t="str" r="S2514">
        <f>CONCATENATE(F2514,E2514)</f>
        <v>NON FTLNON FTL</v>
      </c>
    </row>
    <row r="2515">
      <c t="s" s="7" r="A2515">
        <v>201</v>
      </c>
      <c s="7" r="B2515">
        <v>2542</v>
      </c>
      <c s="30" r="C2515">
        <v>3</v>
      </c>
      <c t="s" s="30" r="D2515">
        <v>112</v>
      </c>
      <c t="s" s="30" r="E2515">
        <v>4</v>
      </c>
      <c t="s" s="30" r="F2515">
        <v>4</v>
      </c>
      <c t="s" s="30" r="G2515">
        <v>291</v>
      </c>
      <c t="str" s="12" r="H2515">
        <f>HYPERLINK("http://sofifa.com/en/fifa13winter/player/147669-gerard-pique-bernabeu","Piqué")</f>
        <v>Piqué</v>
      </c>
      <c s="30" r="I2515">
        <v>86</v>
      </c>
      <c t="s" s="30" r="J2515">
        <v>113</v>
      </c>
      <c t="s" s="30" r="K2515">
        <v>165</v>
      </c>
      <c t="s" s="30" r="L2515">
        <v>179</v>
      </c>
      <c s="30" r="M2515">
        <v>25</v>
      </c>
      <c s="26" r="N2515">
        <v>27.2</v>
      </c>
      <c s="23" r="O2515">
        <v>0.135</v>
      </c>
      <c s="7" r="P2515"/>
      <c s="7" r="Q2515"/>
      <c s="7" r="R2515">
        <f>IF((P2515&gt;0),O2515,0)</f>
        <v>0</v>
      </c>
      <c t="str" r="S2515">
        <f>CONCATENATE(F2515,E2515)</f>
        <v>NON FTLNON FTL</v>
      </c>
    </row>
    <row r="2516">
      <c t="s" s="7" r="A2516">
        <v>201</v>
      </c>
      <c s="7" r="B2516">
        <v>2543</v>
      </c>
      <c s="30" r="C2516">
        <v>14</v>
      </c>
      <c t="s" s="30" r="D2516">
        <v>116</v>
      </c>
      <c t="s" s="30" r="E2516">
        <v>4</v>
      </c>
      <c t="s" s="30" r="F2516">
        <v>4</v>
      </c>
      <c t="s" s="30" r="G2516">
        <v>291</v>
      </c>
      <c t="str" s="12" r="H2516">
        <f>HYPERLINK("http://sofifa.com/en/fifa13winter/player/146700-javier-mascherano","J. Mascherano")</f>
        <v>J. Mascherano</v>
      </c>
      <c s="30" r="I2516">
        <v>85</v>
      </c>
      <c t="s" s="30" r="J2516">
        <v>113</v>
      </c>
      <c t="s" s="30" r="K2516">
        <v>182</v>
      </c>
      <c t="s" s="30" r="L2516">
        <v>160</v>
      </c>
      <c s="30" r="M2516">
        <v>28</v>
      </c>
      <c s="26" r="N2516">
        <v>20.5</v>
      </c>
      <c s="23" r="O2516">
        <v>0.104</v>
      </c>
      <c s="7" r="P2516"/>
      <c s="7" r="Q2516"/>
      <c s="7" r="R2516">
        <f>IF((P2516&gt;0),O2516,0)</f>
        <v>0</v>
      </c>
      <c t="str" r="S2516">
        <f>CONCATENATE(F2516,E2516)</f>
        <v>NON FTLNON FTL</v>
      </c>
    </row>
    <row r="2517">
      <c t="s" s="7" r="A2517">
        <v>201</v>
      </c>
      <c s="7" r="B2517">
        <v>2544</v>
      </c>
      <c s="30" r="C2517">
        <v>18</v>
      </c>
      <c t="s" s="30" r="D2517">
        <v>117</v>
      </c>
      <c t="s" s="30" r="E2517">
        <v>4</v>
      </c>
      <c t="s" s="30" r="F2517">
        <v>4</v>
      </c>
      <c t="s" s="30" r="G2517">
        <v>291</v>
      </c>
      <c t="str" s="12" r="H2517">
        <f>HYPERLINK("http://sofifa.com/en/fifa13winter/player/148447-jordi-alba-ramos","Jordi Alba")</f>
        <v>Jordi Alba</v>
      </c>
      <c s="30" r="I2517">
        <v>82</v>
      </c>
      <c t="s" s="30" r="J2517">
        <v>117</v>
      </c>
      <c t="s" s="30" r="K2517">
        <v>121</v>
      </c>
      <c t="s" s="30" r="L2517">
        <v>111</v>
      </c>
      <c s="30" r="M2517">
        <v>23</v>
      </c>
      <c s="26" r="N2517">
        <v>15.2</v>
      </c>
      <c s="23" r="O2517">
        <v>0.051</v>
      </c>
      <c s="7" r="P2517"/>
      <c s="7" r="Q2517"/>
      <c s="7" r="R2517">
        <f>IF((P2517&gt;0),O2517,0)</f>
        <v>0</v>
      </c>
      <c t="str" r="S2517">
        <f>CONCATENATE(F2517,E2517)</f>
        <v>NON FTLNON FTL</v>
      </c>
    </row>
    <row r="2518">
      <c t="s" s="7" r="A2518">
        <v>201</v>
      </c>
      <c s="7" r="B2518">
        <v>2545</v>
      </c>
      <c s="30" r="C2518">
        <v>16</v>
      </c>
      <c t="s" s="30" r="D2518">
        <v>154</v>
      </c>
      <c t="s" s="30" r="E2518">
        <v>4</v>
      </c>
      <c t="s" s="30" r="F2518">
        <v>4</v>
      </c>
      <c t="s" s="30" r="G2518">
        <v>291</v>
      </c>
      <c t="str" s="12" r="H2518">
        <f>HYPERLINK("http://sofifa.com/en/fifa13winter/player/148199-sergio-busquets-burgos","Sergio Busquets")</f>
        <v>Sergio Busquets</v>
      </c>
      <c s="30" r="I2518">
        <v>85</v>
      </c>
      <c t="s" s="30" r="J2518">
        <v>154</v>
      </c>
      <c t="s" s="30" r="K2518">
        <v>169</v>
      </c>
      <c t="s" s="30" r="L2518">
        <v>119</v>
      </c>
      <c s="30" r="M2518">
        <v>24</v>
      </c>
      <c s="26" r="N2518">
        <v>19.7</v>
      </c>
      <c s="23" r="O2518">
        <v>0.1</v>
      </c>
      <c s="7" r="P2518"/>
      <c s="7" r="Q2518"/>
      <c s="7" r="R2518">
        <f>IF((P2518&gt;0),O2518,0)</f>
        <v>0</v>
      </c>
      <c t="str" r="S2518">
        <f>CONCATENATE(F2518,E2518)</f>
        <v>NON FTLNON FTL</v>
      </c>
    </row>
    <row r="2519">
      <c t="s" s="7" r="A2519">
        <v>201</v>
      </c>
      <c s="7" r="B2519">
        <v>2546</v>
      </c>
      <c s="30" r="C2519">
        <v>6</v>
      </c>
      <c t="s" s="30" r="D2519">
        <v>123</v>
      </c>
      <c t="s" s="30" r="E2519">
        <v>4</v>
      </c>
      <c t="s" s="30" r="F2519">
        <v>4</v>
      </c>
      <c t="s" s="30" r="G2519">
        <v>291</v>
      </c>
      <c t="str" s="12" r="H2519">
        <f>HYPERLINK("http://sofifa.com/en/fifa13winter/player/145104-xavier-hernandez-creus","Xavi")</f>
        <v>Xavi</v>
      </c>
      <c s="30" r="I2519">
        <v>90</v>
      </c>
      <c t="s" s="30" r="J2519">
        <v>124</v>
      </c>
      <c t="s" s="30" r="K2519">
        <v>121</v>
      </c>
      <c t="s" s="30" r="L2519">
        <v>115</v>
      </c>
      <c s="30" r="M2519">
        <v>32</v>
      </c>
      <c s="26" r="N2519">
        <v>34.6</v>
      </c>
      <c s="23" r="O2519">
        <v>0.33</v>
      </c>
      <c s="7" r="P2519"/>
      <c s="7" r="Q2519"/>
      <c s="7" r="R2519">
        <f>IF((P2519&gt;0),O2519,0)</f>
        <v>0</v>
      </c>
      <c t="str" r="S2519">
        <f>CONCATENATE(F2519,E2519)</f>
        <v>NON FTLNON FTL</v>
      </c>
    </row>
    <row r="2520">
      <c t="s" s="7" r="A2520">
        <v>201</v>
      </c>
      <c s="7" r="B2520">
        <v>2547</v>
      </c>
      <c s="30" r="C2520">
        <v>4</v>
      </c>
      <c t="s" s="30" r="D2520">
        <v>126</v>
      </c>
      <c t="s" s="30" r="E2520">
        <v>4</v>
      </c>
      <c t="s" s="30" r="F2520">
        <v>4</v>
      </c>
      <c t="s" s="30" r="G2520">
        <v>291</v>
      </c>
      <c t="str" s="12" r="H2520">
        <f>HYPERLINK("http://sofifa.com/en/fifa13winter/player/147760-francesc-fabregas-i-soler","Cesc Fàbregas")</f>
        <v>Cesc Fàbregas</v>
      </c>
      <c s="30" r="I2520">
        <v>86</v>
      </c>
      <c t="s" s="30" r="J2520">
        <v>124</v>
      </c>
      <c t="s" s="30" r="K2520">
        <v>145</v>
      </c>
      <c t="s" s="30" r="L2520">
        <v>151</v>
      </c>
      <c s="30" r="M2520">
        <v>25</v>
      </c>
      <c s="26" r="N2520">
        <v>25.7</v>
      </c>
      <c s="23" r="O2520">
        <v>0.135</v>
      </c>
      <c s="7" r="P2520"/>
      <c s="7" r="Q2520"/>
      <c s="7" r="R2520">
        <f>IF((P2520&gt;0),O2520,0)</f>
        <v>0</v>
      </c>
      <c t="str" r="S2520">
        <f>CONCATENATE(F2520,E2520)</f>
        <v>NON FTLNON FTL</v>
      </c>
    </row>
    <row r="2521">
      <c t="s" s="7" r="A2521">
        <v>201</v>
      </c>
      <c s="7" r="B2521">
        <v>2548</v>
      </c>
      <c s="30" r="C2521">
        <v>10</v>
      </c>
      <c t="s" s="30" r="D2521">
        <v>171</v>
      </c>
      <c t="s" s="30" r="E2521">
        <v>4</v>
      </c>
      <c t="s" s="30" r="F2521">
        <v>4</v>
      </c>
      <c t="s" s="30" r="G2521">
        <v>291</v>
      </c>
      <c t="str" s="12" r="H2521">
        <f>HYPERLINK("http://sofifa.com/en/fifa13winter/player/147811-lionel-messi","L. Messi")</f>
        <v>L. Messi</v>
      </c>
      <c s="30" r="I2521">
        <v>94</v>
      </c>
      <c t="s" s="30" r="J2521">
        <v>171</v>
      </c>
      <c t="s" s="30" r="K2521">
        <v>205</v>
      </c>
      <c t="s" s="30" r="L2521">
        <v>163</v>
      </c>
      <c s="30" r="M2521">
        <v>25</v>
      </c>
      <c s="26" r="N2521">
        <v>98.1</v>
      </c>
      <c s="23" r="O2521">
        <v>0.35</v>
      </c>
      <c s="7" r="P2521"/>
      <c s="7" r="Q2521"/>
      <c s="7" r="R2521">
        <f>IF((P2521&gt;0),O2521,0)</f>
        <v>0</v>
      </c>
      <c t="str" r="S2521">
        <f>CONCATENATE(F2521,E2521)</f>
        <v>NON FTLNON FTL</v>
      </c>
    </row>
    <row r="2522">
      <c t="s" s="7" r="A2522">
        <v>201</v>
      </c>
      <c s="7" r="B2522">
        <v>2549</v>
      </c>
      <c s="30" r="C2522">
        <v>9</v>
      </c>
      <c t="s" s="30" r="D2522">
        <v>157</v>
      </c>
      <c t="s" s="30" r="E2522">
        <v>4</v>
      </c>
      <c t="s" s="30" r="F2522">
        <v>4</v>
      </c>
      <c t="s" s="30" r="G2522">
        <v>291</v>
      </c>
      <c t="str" s="12" r="H2522">
        <f>HYPERLINK("http://sofifa.com/en/fifa13winter/player/148355-alexis-sanchez","A. Sánchez")</f>
        <v>A. Sánchez</v>
      </c>
      <c s="30" r="I2522">
        <v>83</v>
      </c>
      <c t="s" s="30" r="J2522">
        <v>157</v>
      </c>
      <c t="s" s="30" r="K2522">
        <v>148</v>
      </c>
      <c t="s" s="30" r="L2522">
        <v>111</v>
      </c>
      <c s="30" r="M2522">
        <v>23</v>
      </c>
      <c s="26" r="N2522">
        <v>18.5</v>
      </c>
      <c s="23" r="O2522">
        <v>0.065</v>
      </c>
      <c s="7" r="P2522"/>
      <c s="7" r="Q2522"/>
      <c s="7" r="R2522">
        <f>IF((P2522&gt;0),O2522,0)</f>
        <v>0</v>
      </c>
      <c t="str" r="S2522">
        <f>CONCATENATE(F2522,E2522)</f>
        <v>NON FTLNON FTL</v>
      </c>
    </row>
    <row r="2523">
      <c t="s" s="7" r="A2523">
        <v>201</v>
      </c>
      <c s="7" r="B2523">
        <v>2550</v>
      </c>
      <c s="30" r="C2523">
        <v>8</v>
      </c>
      <c t="s" s="30" r="D2523">
        <v>170</v>
      </c>
      <c t="s" s="30" r="E2523">
        <v>4</v>
      </c>
      <c t="s" s="30" r="F2523">
        <v>4</v>
      </c>
      <c t="s" s="30" r="G2523">
        <v>291</v>
      </c>
      <c t="str" s="12" r="H2523">
        <f>HYPERLINK("http://sofifa.com/en/fifa13winter/player/146672-andres-iniesta-lujan","Iniesta")</f>
        <v>Iniesta</v>
      </c>
      <c s="30" r="I2523">
        <v>90</v>
      </c>
      <c t="s" s="30" r="J2523">
        <v>124</v>
      </c>
      <c t="s" s="30" r="K2523">
        <v>121</v>
      </c>
      <c t="s" s="30" r="L2523">
        <v>149</v>
      </c>
      <c s="30" r="M2523">
        <v>28</v>
      </c>
      <c s="26" r="N2523">
        <v>44</v>
      </c>
      <c s="23" r="O2523">
        <v>0.286</v>
      </c>
      <c s="7" r="P2523"/>
      <c s="7" r="Q2523"/>
      <c s="7" r="R2523">
        <f>IF((P2523&gt;0),O2523,0)</f>
        <v>0</v>
      </c>
      <c t="str" r="S2523">
        <f>CONCATENATE(F2523,E2523)</f>
        <v>NON FTLNON FTL</v>
      </c>
    </row>
    <row r="2524">
      <c t="s" s="7" r="A2524">
        <v>201</v>
      </c>
      <c s="7" r="B2524">
        <v>2551</v>
      </c>
      <c s="30" r="C2524">
        <v>25</v>
      </c>
      <c t="s" s="30" r="D2524">
        <v>136</v>
      </c>
      <c t="s" s="30" r="E2524">
        <v>4</v>
      </c>
      <c t="s" s="30" r="F2524">
        <v>4</v>
      </c>
      <c t="s" s="30" r="G2524">
        <v>291</v>
      </c>
      <c t="str" s="12" r="H2524">
        <f>HYPERLINK("http://sofifa.com/en/fifa13winter/player/147888-alexandre-song","A. Song")</f>
        <v>A. Song</v>
      </c>
      <c s="30" r="I2524">
        <v>83</v>
      </c>
      <c t="s" s="30" r="J2524">
        <v>154</v>
      </c>
      <c t="s" s="30" r="K2524">
        <v>167</v>
      </c>
      <c t="s" s="30" r="L2524">
        <v>151</v>
      </c>
      <c s="30" r="M2524">
        <v>24</v>
      </c>
      <c s="26" r="N2524">
        <v>15.7</v>
      </c>
      <c s="23" r="O2524">
        <v>0.068</v>
      </c>
      <c s="7" r="P2524"/>
      <c s="7" r="Q2524"/>
      <c s="7" r="R2524">
        <f>IF((P2524&gt;0),O2524,0)</f>
        <v>0</v>
      </c>
      <c t="str" r="S2524">
        <f>CONCATENATE(F2524,E2524)</f>
        <v>NON FTLNON FTL</v>
      </c>
    </row>
    <row r="2525">
      <c t="s" s="7" r="A2525">
        <v>201</v>
      </c>
      <c s="7" r="B2525">
        <v>2552</v>
      </c>
      <c s="30" r="C2525">
        <v>15</v>
      </c>
      <c t="s" s="30" r="D2525">
        <v>136</v>
      </c>
      <c t="s" s="30" r="E2525">
        <v>4</v>
      </c>
      <c t="s" s="30" r="F2525">
        <v>4</v>
      </c>
      <c t="s" s="30" r="G2525">
        <v>291</v>
      </c>
      <c t="str" s="12" r="H2525">
        <f>HYPERLINK("http://sofifa.com/en/fifa13winter/player/149112-marc-bartra-aregall","Marc Bartra")</f>
        <v>Marc Bartra</v>
      </c>
      <c s="30" r="I2525">
        <v>74</v>
      </c>
      <c t="s" s="30" r="J2525">
        <v>113</v>
      </c>
      <c t="s" s="30" r="K2525">
        <v>110</v>
      </c>
      <c t="s" s="30" r="L2525">
        <v>122</v>
      </c>
      <c s="30" r="M2525">
        <v>21</v>
      </c>
      <c s="26" r="N2525">
        <v>3.7</v>
      </c>
      <c s="23" r="O2525">
        <v>0.009</v>
      </c>
      <c s="7" r="P2525"/>
      <c s="7" r="Q2525"/>
      <c s="7" r="R2525">
        <f>IF((P2525&gt;0),O2525,0)</f>
        <v>0</v>
      </c>
      <c t="str" r="S2525">
        <f>CONCATENATE(F2525,E2525)</f>
        <v>NON FTLNON FTL</v>
      </c>
    </row>
    <row r="2526">
      <c t="s" s="7" r="A2526">
        <v>201</v>
      </c>
      <c s="7" r="B2526">
        <v>2553</v>
      </c>
      <c s="30" r="C2526">
        <v>19</v>
      </c>
      <c t="s" s="30" r="D2526">
        <v>136</v>
      </c>
      <c t="s" s="30" r="E2526">
        <v>4</v>
      </c>
      <c t="s" s="30" r="F2526">
        <v>4</v>
      </c>
      <c t="s" s="30" r="G2526">
        <v>291</v>
      </c>
      <c t="str" s="12" r="H2526">
        <f>HYPERLINK("http://sofifa.com/en/fifa13winter/player/149201-martin-montoya-torralbo","Montoya")</f>
        <v>Montoya</v>
      </c>
      <c s="30" r="I2526">
        <v>75</v>
      </c>
      <c t="s" s="30" r="J2526">
        <v>109</v>
      </c>
      <c t="s" s="30" r="K2526">
        <v>182</v>
      </c>
      <c t="s" s="30" r="L2526">
        <v>160</v>
      </c>
      <c s="30" r="M2526">
        <v>21</v>
      </c>
      <c s="26" r="N2526">
        <v>4.3</v>
      </c>
      <c s="23" r="O2526">
        <v>0.011</v>
      </c>
      <c s="7" r="P2526"/>
      <c s="7" r="Q2526"/>
      <c s="7" r="R2526">
        <f>IF((P2526&gt;0),O2526,0)</f>
        <v>0</v>
      </c>
      <c t="str" r="S2526">
        <f>CONCATENATE(F2526,E2526)</f>
        <v>NON FTLNON FTL</v>
      </c>
    </row>
    <row r="2527">
      <c t="s" s="7" r="A2527">
        <v>201</v>
      </c>
      <c s="7" r="B2527">
        <v>2554</v>
      </c>
      <c s="30" r="C2527">
        <v>5</v>
      </c>
      <c t="s" s="30" r="D2527">
        <v>136</v>
      </c>
      <c t="s" s="30" r="E2527">
        <v>4</v>
      </c>
      <c t="s" s="30" r="F2527">
        <v>4</v>
      </c>
      <c t="s" s="30" r="G2527">
        <v>291</v>
      </c>
      <c t="str" s="12" r="H2527">
        <f>HYPERLINK("http://sofifa.com/en/fifa13winter/player/144452-carles-puyol-saforcada","Puyol")</f>
        <v>Puyol</v>
      </c>
      <c s="30" r="I2527">
        <v>85</v>
      </c>
      <c t="s" s="30" r="J2527">
        <v>113</v>
      </c>
      <c t="s" s="30" r="K2527">
        <v>118</v>
      </c>
      <c t="s" s="30" r="L2527">
        <v>153</v>
      </c>
      <c s="30" r="M2527">
        <v>34</v>
      </c>
      <c s="26" r="N2527">
        <v>14</v>
      </c>
      <c s="23" r="O2527">
        <v>0.128</v>
      </c>
      <c s="7" r="P2527"/>
      <c s="7" r="Q2527"/>
      <c s="7" r="R2527">
        <f>IF((P2527&gt;0),O2527,0)</f>
        <v>0</v>
      </c>
      <c t="str" r="S2527">
        <f>CONCATENATE(F2527,E2527)</f>
        <v>NON FTLNON FTL</v>
      </c>
    </row>
    <row r="2528">
      <c t="s" s="7" r="A2528">
        <v>201</v>
      </c>
      <c s="7" r="B2528">
        <v>2555</v>
      </c>
      <c s="30" r="C2528">
        <v>11</v>
      </c>
      <c t="s" s="30" r="D2528">
        <v>136</v>
      </c>
      <c t="s" s="30" r="E2528">
        <v>4</v>
      </c>
      <c t="s" s="30" r="F2528">
        <v>4</v>
      </c>
      <c t="s" s="30" r="G2528">
        <v>291</v>
      </c>
      <c t="str" s="12" r="H2528">
        <f>HYPERLINK("http://sofifa.com/en/fifa13winter/player/149198-thiago-alcantara","Thiago")</f>
        <v>Thiago</v>
      </c>
      <c s="30" r="I2528">
        <v>79</v>
      </c>
      <c t="s" s="30" r="J2528">
        <v>162</v>
      </c>
      <c t="s" s="30" r="K2528">
        <v>187</v>
      </c>
      <c t="s" s="30" r="L2528">
        <v>142</v>
      </c>
      <c s="30" r="M2528">
        <v>21</v>
      </c>
      <c s="26" r="N2528">
        <v>9.1</v>
      </c>
      <c s="23" r="O2528">
        <v>0.019</v>
      </c>
      <c s="7" r="P2528"/>
      <c s="7" r="Q2528"/>
      <c s="7" r="R2528">
        <f>IF((P2528&gt;0),O2528,0)</f>
        <v>0</v>
      </c>
      <c t="str" r="S2528">
        <f>CONCATENATE(F2528,E2528)</f>
        <v>NON FTLNON FTL</v>
      </c>
    </row>
    <row r="2529">
      <c t="s" s="7" r="A2529">
        <v>201</v>
      </c>
      <c s="7" r="B2529">
        <v>2556</v>
      </c>
      <c s="30" r="C2529">
        <v>17</v>
      </c>
      <c t="s" s="30" r="D2529">
        <v>136</v>
      </c>
      <c t="s" s="30" r="E2529">
        <v>4</v>
      </c>
      <c t="s" s="30" r="F2529">
        <v>4</v>
      </c>
      <c t="s" s="30" r="G2529">
        <v>291</v>
      </c>
      <c t="str" s="12" r="H2529">
        <f>HYPERLINK("http://sofifa.com/en/fifa13winter/player/147845-pedro-eliezer-rodriguez-ledesma","Pedro")</f>
        <v>Pedro</v>
      </c>
      <c s="30" r="I2529">
        <v>84</v>
      </c>
      <c t="s" s="30" r="J2529">
        <v>157</v>
      </c>
      <c t="s" s="30" r="K2529">
        <v>205</v>
      </c>
      <c t="s" s="30" r="L2529">
        <v>141</v>
      </c>
      <c s="30" r="M2529">
        <v>25</v>
      </c>
      <c s="26" r="N2529">
        <v>19.1</v>
      </c>
      <c s="23" r="O2529">
        <v>0.083</v>
      </c>
      <c s="7" r="P2529"/>
      <c s="7" r="Q2529"/>
      <c s="7" r="R2529">
        <f>IF((P2529&gt;0),O2529,0)</f>
        <v>0</v>
      </c>
      <c t="str" r="S2529">
        <f>CONCATENATE(F2529,E2529)</f>
        <v>NON FTLNON FTL</v>
      </c>
    </row>
    <row r="2530">
      <c t="s" s="7" r="A2530">
        <v>201</v>
      </c>
      <c s="7" r="B2530">
        <v>2557</v>
      </c>
      <c s="30" r="C2530">
        <v>13</v>
      </c>
      <c t="s" s="30" r="D2530">
        <v>136</v>
      </c>
      <c t="s" s="30" r="E2530">
        <v>4</v>
      </c>
      <c t="s" s="30" r="F2530">
        <v>4</v>
      </c>
      <c t="s" s="30" r="G2530">
        <v>291</v>
      </c>
      <c t="str" s="12" r="H2530">
        <f>HYPERLINK("http://sofifa.com/en/fifa13winter/player/143565-jose-manuel-pinto-colorado","Pinto")</f>
        <v>Pinto</v>
      </c>
      <c s="30" r="I2530">
        <v>72</v>
      </c>
      <c t="s" s="30" r="J2530">
        <v>106</v>
      </c>
      <c t="s" s="30" r="K2530">
        <v>132</v>
      </c>
      <c t="s" s="30" r="L2530">
        <v>193</v>
      </c>
      <c s="30" r="M2530">
        <v>36</v>
      </c>
      <c s="26" r="N2530">
        <v>1.2</v>
      </c>
      <c s="23" r="O2530">
        <v>0.011</v>
      </c>
      <c s="7" r="P2530"/>
      <c s="7" r="Q2530"/>
      <c s="7" r="R2530">
        <f>IF((P2530&gt;0),O2530,0)</f>
        <v>0</v>
      </c>
      <c t="str" r="S2530">
        <f>CONCATENATE(F2530,E2530)</f>
        <v>NON FTLNON FTL</v>
      </c>
    </row>
    <row r="2531">
      <c t="s" s="7" r="A2531">
        <v>201</v>
      </c>
      <c s="7" r="B2531">
        <v>2558</v>
      </c>
      <c s="30" r="C2531">
        <v>7</v>
      </c>
      <c t="s" s="30" r="D2531">
        <v>136</v>
      </c>
      <c t="s" s="30" r="E2531">
        <v>4</v>
      </c>
      <c t="s" s="30" r="F2531">
        <v>4</v>
      </c>
      <c t="s" s="30" r="G2531">
        <v>291</v>
      </c>
      <c t="str" s="12" r="H2531">
        <f>HYPERLINK("http://sofifa.com/en/fifa13winter/player/145782-david-villa-sanchez","David Villa")</f>
        <v>David Villa</v>
      </c>
      <c s="30" r="I2531">
        <v>83</v>
      </c>
      <c t="s" s="30" r="J2531">
        <v>170</v>
      </c>
      <c t="s" s="30" r="K2531">
        <v>139</v>
      </c>
      <c t="s" s="30" r="L2531">
        <v>111</v>
      </c>
      <c s="30" r="M2531">
        <v>30</v>
      </c>
      <c s="26" r="N2531">
        <v>15.4</v>
      </c>
      <c s="23" r="O2531">
        <v>0.076</v>
      </c>
      <c s="7" r="P2531"/>
      <c s="7" r="Q2531"/>
      <c s="7" r="R2531">
        <f>IF((P2531&gt;0),O2531,0)</f>
        <v>0</v>
      </c>
      <c t="str" r="S2531">
        <f>CONCATENATE(F2531,E2531)</f>
        <v>NON FTLNON FTL</v>
      </c>
    </row>
    <row r="2532">
      <c t="s" s="7" r="A2532">
        <v>201</v>
      </c>
      <c s="7" r="B2532">
        <v>2559</v>
      </c>
      <c s="30" r="C2532">
        <v>31</v>
      </c>
      <c t="s" s="30" r="D2532">
        <v>136</v>
      </c>
      <c t="s" s="30" r="E2532">
        <v>4</v>
      </c>
      <c t="s" s="30" r="F2532">
        <v>4</v>
      </c>
      <c t="s" s="30" r="G2532">
        <v>291</v>
      </c>
      <c t="str" s="12" r="H2532">
        <f>HYPERLINK("http://sofifa.com/en/fifa13winter/player/148624-oier-olazabal-paredes","Oier")</f>
        <v>Oier</v>
      </c>
      <c s="30" r="I2532">
        <v>66</v>
      </c>
      <c t="s" s="30" r="J2532">
        <v>106</v>
      </c>
      <c t="s" s="30" r="K2532">
        <v>169</v>
      </c>
      <c t="s" s="30" r="L2532">
        <v>194</v>
      </c>
      <c s="30" r="M2532">
        <v>22</v>
      </c>
      <c s="26" r="N2532">
        <v>1</v>
      </c>
      <c s="23" r="O2532">
        <v>0.005</v>
      </c>
      <c s="7" r="P2532"/>
      <c s="7" r="Q2532"/>
      <c s="7" r="R2532">
        <f>IF((P2532&gt;0),O2532,0)</f>
        <v>0</v>
      </c>
      <c t="str" r="S2532">
        <f>CONCATENATE(F2532,E2532)</f>
        <v>NON FTLNON FTL</v>
      </c>
    </row>
    <row r="2533">
      <c t="s" s="7" r="A2533">
        <v>201</v>
      </c>
      <c s="7" r="B2533">
        <v>2560</v>
      </c>
      <c s="30" r="C2533">
        <v>12</v>
      </c>
      <c t="s" s="30" r="D2533">
        <v>136</v>
      </c>
      <c t="s" s="30" r="E2533">
        <v>4</v>
      </c>
      <c t="s" s="30" r="F2533">
        <v>4</v>
      </c>
      <c t="s" s="30" r="G2533">
        <v>291</v>
      </c>
      <c t="str" s="12" r="H2533">
        <f>HYPERLINK("http://sofifa.com/en/fifa13winter/player/148826-jonathan-dos-santos","J. Dos Santos")</f>
        <v>J. Dos Santos</v>
      </c>
      <c s="30" r="I2533">
        <v>73</v>
      </c>
      <c t="s" s="30" r="J2533">
        <v>124</v>
      </c>
      <c t="s" s="30" r="K2533">
        <v>187</v>
      </c>
      <c t="s" s="30" r="L2533">
        <v>160</v>
      </c>
      <c s="30" r="M2533">
        <v>22</v>
      </c>
      <c s="26" r="N2533">
        <v>3.2</v>
      </c>
      <c s="23" r="O2533">
        <v>0.009</v>
      </c>
      <c s="7" r="P2533"/>
      <c s="7" r="Q2533"/>
      <c s="7" r="R2533">
        <f>IF((P2533&gt;0),O2533,0)</f>
        <v>0</v>
      </c>
      <c t="str" r="S2533">
        <f>CONCATENATE(F2533,E2533)</f>
        <v>NON FTLNON FTL</v>
      </c>
    </row>
    <row r="2534">
      <c t="s" s="7" r="A2534">
        <v>201</v>
      </c>
      <c s="7" r="B2534">
        <v>2561</v>
      </c>
      <c s="30" r="C2534">
        <v>21</v>
      </c>
      <c t="s" s="30" r="D2534">
        <v>136</v>
      </c>
      <c t="s" s="30" r="E2534">
        <v>4</v>
      </c>
      <c t="s" s="30" r="F2534">
        <v>4</v>
      </c>
      <c t="s" s="30" r="G2534">
        <v>291</v>
      </c>
      <c t="str" s="12" r="H2534">
        <f>HYPERLINK("http://sofifa.com/en/fifa13winter/player/146840-adriano-correia-claro","Adriano")</f>
        <v>Adriano</v>
      </c>
      <c s="30" r="I2534">
        <v>76</v>
      </c>
      <c t="s" s="30" r="J2534">
        <v>117</v>
      </c>
      <c t="s" s="30" r="K2534">
        <v>187</v>
      </c>
      <c t="s" s="30" r="L2534">
        <v>163</v>
      </c>
      <c s="30" r="M2534">
        <v>27</v>
      </c>
      <c s="26" r="N2534">
        <v>4.9</v>
      </c>
      <c s="23" r="O2534">
        <v>0.015</v>
      </c>
      <c s="7" r="P2534"/>
      <c s="7" r="Q2534"/>
      <c s="7" r="R2534">
        <f>IF((P2534&gt;0),O2534,0)</f>
        <v>0</v>
      </c>
      <c t="str" r="S2534">
        <f>CONCATENATE(F2534,E2534)</f>
        <v>NON FTLNON FTL</v>
      </c>
    </row>
    <row r="2535">
      <c t="s" s="7" r="A2535">
        <v>201</v>
      </c>
      <c s="7" r="B2535">
        <v>2562</v>
      </c>
      <c s="30" r="C2535">
        <v>37</v>
      </c>
      <c t="s" s="30" r="D2535">
        <v>136</v>
      </c>
      <c t="s" s="30" r="E2535">
        <v>4</v>
      </c>
      <c t="s" s="30" r="F2535">
        <v>4</v>
      </c>
      <c t="s" s="30" r="G2535">
        <v>291</v>
      </c>
      <c t="str" s="12" r="H2535">
        <f>HYPERLINK("http://sofifa.com/en/fifa13winter/player/149328-cristian-tello-herrera","Cristian Tello")</f>
        <v>Cristian Tello</v>
      </c>
      <c s="30" r="I2535">
        <v>78</v>
      </c>
      <c t="s" s="30" r="J2535">
        <v>170</v>
      </c>
      <c t="s" s="30" r="K2535">
        <v>118</v>
      </c>
      <c t="s" s="30" r="L2535">
        <v>149</v>
      </c>
      <c s="30" r="M2535">
        <v>21</v>
      </c>
      <c s="26" r="N2535">
        <v>8.5</v>
      </c>
      <c s="23" r="O2535">
        <v>0.017</v>
      </c>
      <c s="7" r="P2535"/>
      <c s="7" r="Q2535"/>
      <c s="7" r="R2535">
        <f>IF((P2535&gt;0),O2535,0)</f>
        <v>0</v>
      </c>
      <c t="str" r="S2535">
        <f>CONCATENATE(F2535,E2535)</f>
        <v>NON FTLNON FTL</v>
      </c>
    </row>
    <row r="2536">
      <c t="s" s="7" r="A2536">
        <v>201</v>
      </c>
      <c s="7" r="B2536">
        <v>2563</v>
      </c>
      <c s="30" r="C2536">
        <v>22</v>
      </c>
      <c t="s" s="30" r="D2536">
        <v>147</v>
      </c>
      <c t="s" s="30" r="E2536">
        <v>4</v>
      </c>
      <c t="s" s="30" r="F2536">
        <v>4</v>
      </c>
      <c t="s" s="30" r="G2536">
        <v>291</v>
      </c>
      <c t="str" s="12" r="H2536">
        <f>HYPERLINK("http://sofifa.com/en/fifa13winter/player/144906-eric-abidal","E. Abidal")</f>
        <v>E. Abidal</v>
      </c>
      <c s="30" r="I2536">
        <v>77</v>
      </c>
      <c t="s" s="30" r="J2536">
        <v>117</v>
      </c>
      <c t="s" s="30" r="K2536">
        <v>173</v>
      </c>
      <c t="s" s="30" r="L2536">
        <v>151</v>
      </c>
      <c s="30" r="M2536">
        <v>33</v>
      </c>
      <c s="26" r="N2536">
        <v>3.7</v>
      </c>
      <c s="23" r="O2536">
        <v>0.021</v>
      </c>
      <c s="7" r="P2536"/>
      <c s="7" r="Q2536"/>
      <c s="7" r="R2536">
        <f>IF((P2536&gt;0),O2536,0)</f>
        <v>0</v>
      </c>
      <c t="str" r="S2536">
        <f>CONCATENATE(F2536,E2536)</f>
        <v>NON FTLNON FTL</v>
      </c>
    </row>
    <row r="2537">
      <c t="s" s="7" r="A2537">
        <v>201</v>
      </c>
      <c s="7" r="B2537">
        <v>2564</v>
      </c>
      <c s="30" r="C2537">
        <v>1</v>
      </c>
      <c t="s" s="30" r="D2537">
        <v>106</v>
      </c>
      <c t="s" s="30" r="E2537">
        <v>4</v>
      </c>
      <c t="s" s="30" r="F2537">
        <v>4</v>
      </c>
      <c t="s" s="30" r="G2537">
        <v>292</v>
      </c>
      <c t="str" s="12" r="H2537">
        <f>HYPERLINK("http://sofifa.com/en/fifa13winter/player/145585-iker-casillas-fernandez","Casillas")</f>
        <v>Casillas</v>
      </c>
      <c s="30" r="I2537">
        <v>88</v>
      </c>
      <c t="s" s="30" r="J2537">
        <v>106</v>
      </c>
      <c t="s" s="30" r="K2537">
        <v>132</v>
      </c>
      <c t="s" s="30" r="L2537">
        <v>156</v>
      </c>
      <c s="30" r="M2537">
        <v>31</v>
      </c>
      <c s="26" r="N2537">
        <v>22.4</v>
      </c>
      <c s="23" r="O2537">
        <v>0.232</v>
      </c>
      <c s="7" r="P2537"/>
      <c s="7" r="Q2537"/>
      <c s="7" r="R2537">
        <f>IF((P2537&gt;0),O2537,0)</f>
        <v>0</v>
      </c>
      <c t="str" r="S2537">
        <f>CONCATENATE(F2537,E2537)</f>
        <v>NON FTLNON FTL</v>
      </c>
    </row>
    <row r="2538">
      <c t="s" s="7" r="A2538">
        <v>201</v>
      </c>
      <c s="7" r="B2538">
        <v>2565</v>
      </c>
      <c s="30" r="C2538">
        <v>17</v>
      </c>
      <c t="s" s="30" r="D2538">
        <v>109</v>
      </c>
      <c t="s" s="30" r="E2538">
        <v>4</v>
      </c>
      <c t="s" s="30" r="F2538">
        <v>4</v>
      </c>
      <c t="s" s="30" r="G2538">
        <v>292</v>
      </c>
      <c t="str" s="12" r="H2538">
        <f>HYPERLINK("http://sofifa.com/en/fifa13winter/player/146192-alvaro-arbeloa-coca","Arbeloa")</f>
        <v>Arbeloa</v>
      </c>
      <c s="30" r="I2538">
        <v>78</v>
      </c>
      <c t="s" s="30" r="J2538">
        <v>109</v>
      </c>
      <c t="s" s="30" r="K2538">
        <v>110</v>
      </c>
      <c t="s" s="30" r="L2538">
        <v>161</v>
      </c>
      <c s="30" r="M2538">
        <v>29</v>
      </c>
      <c s="26" r="N2538">
        <v>5.4</v>
      </c>
      <c s="23" r="O2538">
        <v>0.02</v>
      </c>
      <c s="7" r="P2538"/>
      <c s="7" r="Q2538"/>
      <c s="7" r="R2538">
        <f>IF((P2538&gt;0),O2538,0)</f>
        <v>0</v>
      </c>
      <c t="str" r="S2538">
        <f>CONCATENATE(F2538,E2538)</f>
        <v>NON FTLNON FTL</v>
      </c>
    </row>
    <row r="2539">
      <c t="s" s="7" r="A2539">
        <v>201</v>
      </c>
      <c s="7" r="B2539">
        <v>2566</v>
      </c>
      <c s="30" r="C2539">
        <v>2</v>
      </c>
      <c t="s" s="30" r="D2539">
        <v>112</v>
      </c>
      <c t="s" s="30" r="E2539">
        <v>4</v>
      </c>
      <c t="s" s="30" r="F2539">
        <v>4</v>
      </c>
      <c t="s" s="30" r="G2539">
        <v>292</v>
      </c>
      <c t="str" s="12" r="H2539">
        <f>HYPERLINK("http://sofifa.com/en/fifa13winter/player/149943-raphael-varane","R. Varane")</f>
        <v>R. Varane</v>
      </c>
      <c s="30" r="I2539">
        <v>81</v>
      </c>
      <c t="s" s="30" r="J2539">
        <v>113</v>
      </c>
      <c t="s" s="30" r="K2539">
        <v>144</v>
      </c>
      <c t="s" s="30" r="L2539">
        <v>137</v>
      </c>
      <c s="30" r="M2539">
        <v>19</v>
      </c>
      <c s="26" r="N2539">
        <v>13.1</v>
      </c>
      <c s="23" r="O2539">
        <v>0.032</v>
      </c>
      <c s="7" r="P2539"/>
      <c s="7" r="Q2539"/>
      <c s="7" r="R2539">
        <f>IF((P2539&gt;0),O2539,0)</f>
        <v>0</v>
      </c>
      <c t="str" r="S2539">
        <f>CONCATENATE(F2539,E2539)</f>
        <v>NON FTLNON FTL</v>
      </c>
    </row>
    <row r="2540">
      <c t="s" s="7" r="A2540">
        <v>201</v>
      </c>
      <c s="7" r="B2540">
        <v>2567</v>
      </c>
      <c s="30" r="C2540">
        <v>4</v>
      </c>
      <c t="s" s="30" r="D2540">
        <v>116</v>
      </c>
      <c t="s" s="30" r="E2540">
        <v>4</v>
      </c>
      <c t="s" s="30" r="F2540">
        <v>4</v>
      </c>
      <c t="s" s="30" r="G2540">
        <v>292</v>
      </c>
      <c t="str" s="12" r="H2540">
        <f>HYPERLINK("http://sofifa.com/en/fifa13winter/player/147360-sergio-ramos-garcia","Sergio Ramos")</f>
        <v>Sergio Ramos</v>
      </c>
      <c s="30" r="I2540">
        <v>86</v>
      </c>
      <c t="s" s="30" r="J2540">
        <v>113</v>
      </c>
      <c t="s" s="30" r="K2540">
        <v>110</v>
      </c>
      <c t="s" s="30" r="L2540">
        <v>183</v>
      </c>
      <c s="30" r="M2540">
        <v>26</v>
      </c>
      <c s="26" r="N2540">
        <v>23.5</v>
      </c>
      <c s="23" r="O2540">
        <v>0.135</v>
      </c>
      <c s="7" r="P2540"/>
      <c s="7" r="Q2540"/>
      <c s="7" r="R2540">
        <f>IF((P2540&gt;0),O2540,0)</f>
        <v>0</v>
      </c>
      <c t="str" r="S2540">
        <f>CONCATENATE(F2540,E2540)</f>
        <v>NON FTLNON FTL</v>
      </c>
    </row>
    <row r="2541">
      <c t="s" s="7" r="A2541">
        <v>201</v>
      </c>
      <c s="7" r="B2541">
        <v>2568</v>
      </c>
      <c s="30" r="C2541">
        <v>12</v>
      </c>
      <c t="s" s="30" r="D2541">
        <v>117</v>
      </c>
      <c t="s" s="30" r="E2541">
        <v>4</v>
      </c>
      <c t="s" s="30" r="F2541">
        <v>4</v>
      </c>
      <c t="s" s="30" r="G2541">
        <v>292</v>
      </c>
      <c t="str" s="12" r="H2541">
        <f>HYPERLINK("http://sofifa.com/en/fifa13winter/player/148134-marcelo-vieira-da-silva","Marcelo")</f>
        <v>Marcelo</v>
      </c>
      <c s="30" r="I2541">
        <v>82</v>
      </c>
      <c t="s" s="30" r="J2541">
        <v>117</v>
      </c>
      <c t="s" s="30" r="K2541">
        <v>182</v>
      </c>
      <c t="s" s="30" r="L2541">
        <v>151</v>
      </c>
      <c s="30" r="M2541">
        <v>24</v>
      </c>
      <c s="26" r="N2541">
        <v>13.7</v>
      </c>
      <c s="23" r="O2541">
        <v>0.053</v>
      </c>
      <c s="7" r="P2541"/>
      <c s="7" r="Q2541"/>
      <c s="7" r="R2541">
        <f>IF((P2541&gt;0),O2541,0)</f>
        <v>0</v>
      </c>
      <c t="str" r="S2541">
        <f>CONCATENATE(F2541,E2541)</f>
        <v>NON FTLNON FTL</v>
      </c>
    </row>
    <row r="2542">
      <c t="s" s="7" r="A2542">
        <v>201</v>
      </c>
      <c s="7" r="B2542">
        <v>2569</v>
      </c>
      <c s="30" r="C2542">
        <v>19</v>
      </c>
      <c t="s" s="30" r="D2542">
        <v>186</v>
      </c>
      <c t="s" s="30" r="E2542">
        <v>4</v>
      </c>
      <c t="s" s="30" r="F2542">
        <v>4</v>
      </c>
      <c t="s" s="30" r="G2542">
        <v>292</v>
      </c>
      <c t="str" s="12" r="H2542">
        <f>HYPERLINK("http://sofifa.com/en/fifa13winter/player/147158-luka-modric","L. Modrić")</f>
        <v>L. Modrić</v>
      </c>
      <c s="30" r="I2542">
        <v>84</v>
      </c>
      <c t="s" s="30" r="J2542">
        <v>124</v>
      </c>
      <c t="s" s="30" r="K2542">
        <v>182</v>
      </c>
      <c t="s" s="30" r="L2542">
        <v>149</v>
      </c>
      <c s="30" r="M2542">
        <v>26</v>
      </c>
      <c s="26" r="N2542">
        <v>17.8</v>
      </c>
      <c s="23" r="O2542">
        <v>0.083</v>
      </c>
      <c s="7" r="P2542"/>
      <c s="7" r="Q2542"/>
      <c s="7" r="R2542">
        <f>IF((P2542&gt;0),O2542,0)</f>
        <v>0</v>
      </c>
      <c t="str" r="S2542">
        <f>CONCATENATE(F2542,E2542)</f>
        <v>NON FTLNON FTL</v>
      </c>
    </row>
    <row r="2543">
      <c t="s" s="7" r="A2543">
        <v>201</v>
      </c>
      <c s="7" r="B2543">
        <v>2570</v>
      </c>
      <c s="30" r="C2543">
        <v>6</v>
      </c>
      <c t="s" s="30" r="D2543">
        <v>174</v>
      </c>
      <c t="s" s="30" r="E2543">
        <v>4</v>
      </c>
      <c t="s" s="30" r="F2543">
        <v>4</v>
      </c>
      <c t="s" s="30" r="G2543">
        <v>292</v>
      </c>
      <c t="str" s="12" r="H2543">
        <f>HYPERLINK("http://sofifa.com/en/fifa13winter/player/147730-sami-khedira","S. Khedira")</f>
        <v>S. Khedira</v>
      </c>
      <c s="30" r="I2543">
        <v>84</v>
      </c>
      <c t="s" s="30" r="J2543">
        <v>154</v>
      </c>
      <c t="s" s="30" r="K2543">
        <v>169</v>
      </c>
      <c t="s" s="30" r="L2543">
        <v>183</v>
      </c>
      <c s="30" r="M2543">
        <v>25</v>
      </c>
      <c s="26" r="N2543">
        <v>17.5</v>
      </c>
      <c s="23" r="O2543">
        <v>0.083</v>
      </c>
      <c s="7" r="P2543"/>
      <c s="7" r="Q2543"/>
      <c s="7" r="R2543">
        <f>IF((P2543&gt;0),O2543,0)</f>
        <v>0</v>
      </c>
      <c t="str" r="S2543">
        <f>CONCATENATE(F2543,E2543)</f>
        <v>NON FTLNON FTL</v>
      </c>
    </row>
    <row r="2544">
      <c t="s" s="7" r="A2544">
        <v>201</v>
      </c>
      <c s="7" r="B2544">
        <v>2571</v>
      </c>
      <c s="30" r="C2544">
        <v>22</v>
      </c>
      <c t="s" s="30" r="D2544">
        <v>120</v>
      </c>
      <c t="s" s="30" r="E2544">
        <v>4</v>
      </c>
      <c t="s" s="30" r="F2544">
        <v>4</v>
      </c>
      <c t="s" s="30" r="G2544">
        <v>292</v>
      </c>
      <c t="str" s="12" r="H2544">
        <f>HYPERLINK("http://sofifa.com/en/fifa13winter/player/148046-angel-di-maria","A. Di María")</f>
        <v>A. Di María</v>
      </c>
      <c s="30" r="I2544">
        <v>86</v>
      </c>
      <c t="s" s="30" r="J2544">
        <v>120</v>
      </c>
      <c t="s" s="30" r="K2544">
        <v>114</v>
      </c>
      <c t="s" s="30" r="L2544">
        <v>122</v>
      </c>
      <c s="30" r="M2544">
        <v>24</v>
      </c>
      <c s="26" r="N2544">
        <v>30.4</v>
      </c>
      <c s="23" r="O2544">
        <v>0.135</v>
      </c>
      <c s="7" r="P2544"/>
      <c s="7" r="Q2544"/>
      <c s="7" r="R2544">
        <f>IF((P2544&gt;0),O2544,0)</f>
        <v>0</v>
      </c>
      <c t="str" r="S2544">
        <f>CONCATENATE(F2544,E2544)</f>
        <v>NON FTLNON FTL</v>
      </c>
    </row>
    <row r="2545">
      <c t="s" s="7" r="A2545">
        <v>201</v>
      </c>
      <c s="7" r="B2545">
        <v>2572</v>
      </c>
      <c s="30" r="C2545">
        <v>7</v>
      </c>
      <c t="s" s="30" r="D2545">
        <v>128</v>
      </c>
      <c t="s" s="30" r="E2545">
        <v>4</v>
      </c>
      <c t="s" s="30" r="F2545">
        <v>4</v>
      </c>
      <c t="s" s="30" r="G2545">
        <v>292</v>
      </c>
      <c t="str" s="12" r="H2545">
        <f>HYPERLINK("http://sofifa.com/en/fifa13winter/player/146942-c-ronaldo-dos-santos-aveiro","Cristiano Ronaldo")</f>
        <v>Cristiano Ronaldo</v>
      </c>
      <c s="30" r="I2545">
        <v>92</v>
      </c>
      <c t="s" s="30" r="J2545">
        <v>170</v>
      </c>
      <c t="s" s="30" r="K2545">
        <v>173</v>
      </c>
      <c t="s" s="30" r="L2545">
        <v>156</v>
      </c>
      <c s="30" r="M2545">
        <v>27</v>
      </c>
      <c s="26" r="N2545">
        <v>86.7</v>
      </c>
      <c s="23" r="O2545">
        <v>0.35</v>
      </c>
      <c s="7" r="P2545"/>
      <c s="7" r="Q2545"/>
      <c s="7" r="R2545">
        <f>IF((P2545&gt;0),O2545,0)</f>
        <v>0</v>
      </c>
      <c t="str" r="S2545">
        <f>CONCATENATE(F2545,E2545)</f>
        <v>NON FTLNON FTL</v>
      </c>
    </row>
    <row r="2546">
      <c t="s" s="7" r="A2546">
        <v>201</v>
      </c>
      <c s="7" r="B2546">
        <v>2573</v>
      </c>
      <c s="30" r="C2546">
        <v>10</v>
      </c>
      <c t="s" s="30" r="D2546">
        <v>162</v>
      </c>
      <c t="s" s="30" r="E2546">
        <v>4</v>
      </c>
      <c t="s" s="30" r="F2546">
        <v>4</v>
      </c>
      <c t="s" s="30" r="G2546">
        <v>292</v>
      </c>
      <c t="str" s="12" r="H2546">
        <f>HYPERLINK("http://sofifa.com/en/fifa13winter/player/148290-mesut-ozil","M. Özil")</f>
        <v>M. Özil</v>
      </c>
      <c s="30" r="I2546">
        <v>87</v>
      </c>
      <c t="s" s="30" r="J2546">
        <v>162</v>
      </c>
      <c t="s" s="30" r="K2546">
        <v>150</v>
      </c>
      <c t="s" s="30" r="L2546">
        <v>122</v>
      </c>
      <c s="30" r="M2546">
        <v>23</v>
      </c>
      <c s="26" r="N2546">
        <v>39.2</v>
      </c>
      <c s="23" r="O2546">
        <v>0.163</v>
      </c>
      <c s="7" r="P2546"/>
      <c s="7" r="Q2546"/>
      <c s="7" r="R2546">
        <f>IF((P2546&gt;0),O2546,0)</f>
        <v>0</v>
      </c>
      <c t="str" r="S2546">
        <f>CONCATENATE(F2546,E2546)</f>
        <v>NON FTLNON FTL</v>
      </c>
    </row>
    <row r="2547">
      <c t="s" s="7" r="A2547">
        <v>201</v>
      </c>
      <c s="7" r="B2547">
        <v>2574</v>
      </c>
      <c s="30" r="C2547">
        <v>9</v>
      </c>
      <c t="s" s="30" r="D2547">
        <v>129</v>
      </c>
      <c t="s" s="30" r="E2547">
        <v>4</v>
      </c>
      <c t="s" s="30" r="F2547">
        <v>4</v>
      </c>
      <c t="s" s="30" r="G2547">
        <v>292</v>
      </c>
      <c t="str" s="12" r="H2547">
        <f>HYPERLINK("http://sofifa.com/en/fifa13winter/player/147989-karim-benzema","K. Benzema")</f>
        <v>K. Benzema</v>
      </c>
      <c s="30" r="I2547">
        <v>85</v>
      </c>
      <c t="s" s="30" r="J2547">
        <v>129</v>
      </c>
      <c t="s" s="30" r="K2547">
        <v>167</v>
      </c>
      <c t="s" s="30" r="L2547">
        <v>138</v>
      </c>
      <c s="30" r="M2547">
        <v>24</v>
      </c>
      <c s="26" r="N2547">
        <v>25.1</v>
      </c>
      <c s="23" r="O2547">
        <v>0.1</v>
      </c>
      <c s="7" r="P2547"/>
      <c s="7" r="Q2547"/>
      <c s="7" r="R2547">
        <f>IF((P2547&gt;0),O2547,0)</f>
        <v>0</v>
      </c>
      <c t="str" r="S2547">
        <f>CONCATENATE(F2547,E2547)</f>
        <v>NON FTLNON FTL</v>
      </c>
    </row>
    <row r="2548">
      <c t="s" s="7" r="A2548">
        <v>201</v>
      </c>
      <c s="7" r="B2548">
        <v>2575</v>
      </c>
      <c s="30" r="C2548">
        <v>13</v>
      </c>
      <c t="s" s="30" r="D2548">
        <v>136</v>
      </c>
      <c t="s" s="30" r="E2548">
        <v>4</v>
      </c>
      <c t="s" s="30" r="F2548">
        <v>4</v>
      </c>
      <c t="s" s="30" r="G2548">
        <v>292</v>
      </c>
      <c t="str" s="12" r="H2548">
        <f>HYPERLINK("http://sofifa.com/en/fifa13winter/player/147769-antonio-adan-garrido","Adán")</f>
        <v>Adán</v>
      </c>
      <c s="30" r="I2548">
        <v>69</v>
      </c>
      <c t="s" s="30" r="J2548">
        <v>106</v>
      </c>
      <c t="s" s="30" r="K2548">
        <v>152</v>
      </c>
      <c t="s" s="30" r="L2548">
        <v>175</v>
      </c>
      <c s="30" r="M2548">
        <v>25</v>
      </c>
      <c s="26" r="N2548">
        <v>1.5</v>
      </c>
      <c s="23" r="O2548">
        <v>0.007</v>
      </c>
      <c s="7" r="P2548"/>
      <c s="7" r="Q2548"/>
      <c s="7" r="R2548">
        <f>IF((P2548&gt;0),O2548,0)</f>
        <v>0</v>
      </c>
      <c t="str" r="S2548">
        <f>CONCATENATE(F2548,E2548)</f>
        <v>NON FTLNON FTL</v>
      </c>
    </row>
    <row r="2549">
      <c t="s" s="7" r="A2549">
        <v>201</v>
      </c>
      <c s="7" r="B2549">
        <v>2576</v>
      </c>
      <c s="30" r="C2549">
        <v>29</v>
      </c>
      <c t="s" s="30" r="D2549">
        <v>136</v>
      </c>
      <c t="s" s="30" r="E2549">
        <v>4</v>
      </c>
      <c t="s" s="30" r="F2549">
        <v>4</v>
      </c>
      <c t="s" s="30" r="G2549">
        <v>292</v>
      </c>
      <c t="str" s="12" r="H2549">
        <f>HYPERLINK("http://sofifa.com/en/fifa13winter/player/149759-alvaro-borja-morata-martin","Morata")</f>
        <v>Morata</v>
      </c>
      <c s="30" r="I2549">
        <v>73</v>
      </c>
      <c t="s" s="30" r="J2549">
        <v>129</v>
      </c>
      <c t="s" s="30" r="K2549">
        <v>152</v>
      </c>
      <c t="s" s="30" r="L2549">
        <v>193</v>
      </c>
      <c s="30" r="M2549">
        <v>19</v>
      </c>
      <c s="26" r="N2549">
        <v>4.1</v>
      </c>
      <c s="23" r="O2549">
        <v>0.008</v>
      </c>
      <c s="7" r="P2549"/>
      <c s="7" r="Q2549"/>
      <c s="7" r="R2549">
        <f>IF((P2549&gt;0),O2549,0)</f>
        <v>0</v>
      </c>
      <c t="str" r="S2549">
        <f>CONCATENATE(F2549,E2549)</f>
        <v>NON FTLNON FTL</v>
      </c>
    </row>
    <row r="2550">
      <c t="s" s="7" r="A2550">
        <v>201</v>
      </c>
      <c s="7" r="B2550">
        <v>2577</v>
      </c>
      <c s="30" r="C2550">
        <v>27</v>
      </c>
      <c t="s" s="30" r="D2550">
        <v>136</v>
      </c>
      <c t="s" s="30" r="E2550">
        <v>4</v>
      </c>
      <c t="s" s="30" r="F2550">
        <v>4</v>
      </c>
      <c t="s" s="30" r="G2550">
        <v>292</v>
      </c>
      <c t="str" s="12" r="H2550">
        <f>HYPERLINK("http://sofifa.com/en/fifa13winter/player/148750-jose-ignacio-fernandez-iglesias","Nacho Fernández")</f>
        <v>Nacho Fernández</v>
      </c>
      <c s="30" r="I2550">
        <v>71</v>
      </c>
      <c t="s" s="30" r="J2550">
        <v>113</v>
      </c>
      <c t="s" s="30" r="K2550">
        <v>114</v>
      </c>
      <c t="s" s="30" r="L2550">
        <v>160</v>
      </c>
      <c s="30" r="M2550">
        <v>22</v>
      </c>
      <c s="26" r="N2550">
        <v>2.3</v>
      </c>
      <c s="23" r="O2550">
        <v>0.007</v>
      </c>
      <c s="7" r="P2550"/>
      <c s="7" r="Q2550"/>
      <c s="7" r="R2550">
        <f>IF((P2550&gt;0),O2550,0)</f>
        <v>0</v>
      </c>
      <c t="str" r="S2550">
        <f>CONCATENATE(F2550,E2550)</f>
        <v>NON FTLNON FTL</v>
      </c>
    </row>
    <row r="2551">
      <c t="s" s="7" r="A2551">
        <v>201</v>
      </c>
      <c s="7" r="B2551">
        <v>2578</v>
      </c>
      <c s="30" r="C2551">
        <v>21</v>
      </c>
      <c t="s" s="30" r="D2551">
        <v>136</v>
      </c>
      <c t="s" s="30" r="E2551">
        <v>4</v>
      </c>
      <c t="s" s="30" r="F2551">
        <v>4</v>
      </c>
      <c t="s" s="30" r="G2551">
        <v>292</v>
      </c>
      <c t="str" s="12" r="H2551">
        <f>HYPERLINK("http://sofifa.com/en/fifa13winter/player/147678-jose-maria-callejon-bueno","José Callejón")</f>
        <v>José Callejón</v>
      </c>
      <c s="30" r="I2551">
        <v>76</v>
      </c>
      <c t="s" s="30" r="J2551">
        <v>120</v>
      </c>
      <c t="s" s="30" r="K2551">
        <v>118</v>
      </c>
      <c t="s" s="30" r="L2551">
        <v>119</v>
      </c>
      <c s="30" r="M2551">
        <v>25</v>
      </c>
      <c s="26" r="N2551">
        <v>5.7</v>
      </c>
      <c s="23" r="O2551">
        <v>0.015</v>
      </c>
      <c s="7" r="P2551"/>
      <c s="7" r="Q2551"/>
      <c s="7" r="R2551">
        <f>IF((P2551&gt;0),O2551,0)</f>
        <v>0</v>
      </c>
      <c t="str" r="S2551">
        <f>CONCATENATE(F2551,E2551)</f>
        <v>NON FTLNON FTL</v>
      </c>
    </row>
    <row r="2552">
      <c t="s" s="7" r="A2552">
        <v>201</v>
      </c>
      <c s="7" r="B2552">
        <v>2579</v>
      </c>
      <c s="30" r="C2552">
        <v>5</v>
      </c>
      <c t="s" s="30" r="D2552">
        <v>136</v>
      </c>
      <c t="s" s="30" r="E2552">
        <v>4</v>
      </c>
      <c t="s" s="30" r="F2552">
        <v>4</v>
      </c>
      <c t="s" s="30" r="G2552">
        <v>292</v>
      </c>
      <c t="str" s="12" r="H2552">
        <f>HYPERLINK("http://sofifa.com/en/fifa13winter/player/148072-fabio-alexandre-silva-coentrao","Fábio Coentrão")</f>
        <v>Fábio Coentrão</v>
      </c>
      <c s="30" r="I2552">
        <v>80</v>
      </c>
      <c t="s" s="30" r="J2552">
        <v>117</v>
      </c>
      <c t="s" s="30" r="K2552">
        <v>145</v>
      </c>
      <c t="s" s="30" r="L2552">
        <v>146</v>
      </c>
      <c s="30" r="M2552">
        <v>24</v>
      </c>
      <c s="26" r="N2552">
        <v>9.2</v>
      </c>
      <c s="23" r="O2552">
        <v>0.03</v>
      </c>
      <c s="7" r="P2552"/>
      <c s="7" r="Q2552"/>
      <c s="7" r="R2552">
        <f>IF((P2552&gt;0),O2552,0)</f>
        <v>0</v>
      </c>
      <c t="str" r="S2552">
        <f>CONCATENATE(F2552,E2552)</f>
        <v>NON FTLNON FTL</v>
      </c>
    </row>
    <row r="2553">
      <c t="s" s="7" r="A2553">
        <v>201</v>
      </c>
      <c s="7" r="B2553">
        <v>2580</v>
      </c>
      <c s="30" r="C2553">
        <v>14</v>
      </c>
      <c t="s" s="30" r="D2553">
        <v>136</v>
      </c>
      <c t="s" s="30" r="E2553">
        <v>4</v>
      </c>
      <c t="s" s="30" r="F2553">
        <v>4</v>
      </c>
      <c t="s" s="30" r="G2553">
        <v>292</v>
      </c>
      <c t="str" s="12" r="H2553">
        <f>HYPERLINK("http://sofifa.com/en/fifa13winter/player/145774-xabier-alonso-olano","Xabi Alonso")</f>
        <v>Xabi Alonso</v>
      </c>
      <c s="30" r="I2553">
        <v>86</v>
      </c>
      <c t="s" s="30" r="J2553">
        <v>124</v>
      </c>
      <c t="s" s="30" r="K2553">
        <v>110</v>
      </c>
      <c t="s" s="30" r="L2553">
        <v>138</v>
      </c>
      <c s="30" r="M2553">
        <v>30</v>
      </c>
      <c s="26" r="N2553">
        <v>23</v>
      </c>
      <c s="23" r="O2553">
        <v>0.151</v>
      </c>
      <c s="7" r="P2553"/>
      <c s="7" r="Q2553"/>
      <c s="7" r="R2553">
        <f>IF((P2553&gt;0),O2553,0)</f>
        <v>0</v>
      </c>
      <c t="str" r="S2553">
        <f>CONCATENATE(F2553,E2553)</f>
        <v>NON FTLNON FTL</v>
      </c>
    </row>
    <row r="2554">
      <c t="s" s="7" r="A2554">
        <v>201</v>
      </c>
      <c s="7" r="B2554">
        <v>2581</v>
      </c>
      <c s="30" r="C2554">
        <v>3</v>
      </c>
      <c t="s" s="30" r="D2554">
        <v>136</v>
      </c>
      <c t="s" s="30" r="E2554">
        <v>4</v>
      </c>
      <c t="s" s="30" r="F2554">
        <v>4</v>
      </c>
      <c t="s" s="30" r="G2554">
        <v>292</v>
      </c>
      <c t="str" s="12" r="H2554">
        <f>HYPERLINK("http://sofifa.com/en/fifa13winter/player/146232-kepler-laveran-lima-ferreira","Pepe")</f>
        <v>Pepe</v>
      </c>
      <c s="30" r="I2554">
        <v>84</v>
      </c>
      <c t="s" s="30" r="J2554">
        <v>113</v>
      </c>
      <c t="s" s="30" r="K2554">
        <v>134</v>
      </c>
      <c t="s" s="30" r="L2554">
        <v>183</v>
      </c>
      <c s="30" r="M2554">
        <v>29</v>
      </c>
      <c s="26" r="N2554">
        <v>16.4</v>
      </c>
      <c s="23" r="O2554">
        <v>0.09</v>
      </c>
      <c s="7" r="P2554"/>
      <c s="7" r="Q2554"/>
      <c s="7" r="R2554">
        <f>IF((P2554&gt;0),O2554,0)</f>
        <v>0</v>
      </c>
      <c t="str" r="S2554">
        <f>CONCATENATE(F2554,E2554)</f>
        <v>NON FTLNON FTL</v>
      </c>
    </row>
    <row r="2555">
      <c t="s" s="7" r="A2555">
        <v>201</v>
      </c>
      <c s="7" r="B2555">
        <v>2582</v>
      </c>
      <c s="30" r="C2555">
        <v>8</v>
      </c>
      <c t="s" s="30" r="D2555">
        <v>136</v>
      </c>
      <c t="s" s="30" r="E2555">
        <v>4</v>
      </c>
      <c t="s" s="30" r="F2555">
        <v>4</v>
      </c>
      <c t="s" s="30" r="G2555">
        <v>292</v>
      </c>
      <c t="str" s="12" r="H2555">
        <f>HYPERLINK("http://sofifa.com/en/fifa13winter/player/145922-ricardo-izecson-dos-santos-leite","Kaká")</f>
        <v>Kaká</v>
      </c>
      <c s="30" r="I2555">
        <v>83</v>
      </c>
      <c t="s" s="30" r="J2555">
        <v>162</v>
      </c>
      <c t="s" s="30" r="K2555">
        <v>173</v>
      </c>
      <c t="s" s="30" r="L2555">
        <v>138</v>
      </c>
      <c s="30" r="M2555">
        <v>30</v>
      </c>
      <c s="26" r="N2555">
        <v>15</v>
      </c>
      <c s="23" r="O2555">
        <v>0.076</v>
      </c>
      <c s="7" r="P2555"/>
      <c s="7" r="Q2555"/>
      <c s="7" r="R2555">
        <f>IF((P2555&gt;0),O2555,0)</f>
        <v>0</v>
      </c>
      <c t="str" r="S2555">
        <f>CONCATENATE(F2555,E2555)</f>
        <v>NON FTLNON FTL</v>
      </c>
    </row>
    <row r="2556">
      <c t="s" s="7" r="A2556">
        <v>201</v>
      </c>
      <c s="7" r="B2556">
        <v>2583</v>
      </c>
      <c s="30" r="C2556">
        <v>25</v>
      </c>
      <c t="s" s="30" r="D2556">
        <v>136</v>
      </c>
      <c t="s" s="30" r="E2556">
        <v>4</v>
      </c>
      <c t="s" s="30" r="F2556">
        <v>4</v>
      </c>
      <c t="s" s="30" r="G2556">
        <v>292</v>
      </c>
      <c t="str" s="12" r="H2556">
        <f>HYPERLINK("http://sofifa.com/en/fifa13winter/player/145752-diego-lopez-rodriguez","Diego López")</f>
        <v>Diego López</v>
      </c>
      <c s="30" r="I2556">
        <v>82</v>
      </c>
      <c t="s" s="30" r="J2556">
        <v>106</v>
      </c>
      <c t="s" s="30" r="K2556">
        <v>198</v>
      </c>
      <c t="s" s="30" r="L2556">
        <v>191</v>
      </c>
      <c s="30" r="M2556">
        <v>30</v>
      </c>
      <c s="26" r="N2556">
        <v>9.5</v>
      </c>
      <c s="23" r="O2556">
        <v>0.059</v>
      </c>
      <c s="7" r="P2556"/>
      <c s="7" r="Q2556"/>
      <c s="7" r="R2556">
        <f>IF((P2556&gt;0),O2556,0)</f>
        <v>0</v>
      </c>
      <c t="str" r="S2556">
        <f>CONCATENATE(F2556,E2556)</f>
        <v>NON FTLNON FTL</v>
      </c>
    </row>
    <row r="2557">
      <c t="s" s="7" r="A2557">
        <v>201</v>
      </c>
      <c s="7" r="B2557">
        <v>2584</v>
      </c>
      <c s="30" r="C2557">
        <v>18</v>
      </c>
      <c t="s" s="30" r="D2557">
        <v>136</v>
      </c>
      <c t="s" s="30" r="E2557">
        <v>4</v>
      </c>
      <c t="s" s="30" r="F2557">
        <v>4</v>
      </c>
      <c t="s" s="30" r="G2557">
        <v>292</v>
      </c>
      <c t="str" s="12" r="H2557">
        <f>HYPERLINK("http://sofifa.com/en/fifa13winter/player/147153-raul-albiol-tortajada","Raúl Albiol")</f>
        <v>Raúl Albiol</v>
      </c>
      <c s="30" r="I2557">
        <v>80</v>
      </c>
      <c t="s" s="30" r="J2557">
        <v>113</v>
      </c>
      <c t="s" s="30" r="K2557">
        <v>152</v>
      </c>
      <c t="s" s="30" r="L2557">
        <v>193</v>
      </c>
      <c s="30" r="M2557">
        <v>26</v>
      </c>
      <c s="26" r="N2557">
        <v>9.4</v>
      </c>
      <c s="23" r="O2557">
        <v>0.03</v>
      </c>
      <c s="7" r="P2557"/>
      <c s="7" r="Q2557"/>
      <c s="7" r="R2557">
        <f>IF((P2557&gt;0),O2557,0)</f>
        <v>0</v>
      </c>
      <c t="str" r="S2557">
        <f>CONCATENATE(F2557,E2557)</f>
        <v>NON FTLNON FTL</v>
      </c>
    </row>
    <row r="2558">
      <c t="s" s="7" r="A2558">
        <v>201</v>
      </c>
      <c s="7" r="B2558">
        <v>2585</v>
      </c>
      <c s="30" r="C2558">
        <v>20</v>
      </c>
      <c t="s" s="30" r="D2558">
        <v>136</v>
      </c>
      <c t="s" s="30" r="E2558">
        <v>4</v>
      </c>
      <c t="s" s="30" r="F2558">
        <v>4</v>
      </c>
      <c t="s" s="30" r="G2558">
        <v>292</v>
      </c>
      <c t="str" s="12" r="H2558">
        <f>HYPERLINK("http://sofifa.com/en/fifa13winter/player/147980-gonzalo-higuain","G. Higuaín")</f>
        <v>G. Higuaín</v>
      </c>
      <c s="30" r="I2558">
        <v>84</v>
      </c>
      <c t="s" s="30" r="J2558">
        <v>129</v>
      </c>
      <c t="s" s="30" r="K2558">
        <v>167</v>
      </c>
      <c t="s" s="30" r="L2558">
        <v>183</v>
      </c>
      <c s="30" r="M2558">
        <v>24</v>
      </c>
      <c s="26" r="N2558">
        <v>22.6</v>
      </c>
      <c s="23" r="O2558">
        <v>0.083</v>
      </c>
      <c s="7" r="P2558"/>
      <c s="7" r="Q2558"/>
      <c s="7" r="R2558">
        <f>IF((P2558&gt;0),O2558,0)</f>
        <v>0</v>
      </c>
      <c t="str" r="S2558">
        <f>CONCATENATE(F2558,E2558)</f>
        <v>NON FTLNON FTL</v>
      </c>
    </row>
    <row r="2559">
      <c t="s" s="7" r="A2559">
        <v>201</v>
      </c>
      <c s="7" r="B2559">
        <v>2586</v>
      </c>
      <c s="30" r="C2559">
        <v>34</v>
      </c>
      <c t="s" s="30" r="D2559">
        <v>136</v>
      </c>
      <c t="s" s="30" r="E2559">
        <v>4</v>
      </c>
      <c t="s" s="30" r="F2559">
        <v>4</v>
      </c>
      <c t="s" s="30" r="G2559">
        <v>292</v>
      </c>
      <c t="str" s="12" r="H2559">
        <f>HYPERLINK("http://sofifa.com/en/fifa13winter/player/150543-jose-rodriguez-martinez","José Rodríguez")</f>
        <v>José Rodríguez</v>
      </c>
      <c s="30" r="I2559">
        <v>68</v>
      </c>
      <c t="s" s="30" r="J2559">
        <v>124</v>
      </c>
      <c t="s" s="30" r="K2559">
        <v>114</v>
      </c>
      <c t="s" s="30" r="L2559">
        <v>115</v>
      </c>
      <c s="30" r="M2559">
        <v>17</v>
      </c>
      <c s="26" r="N2559">
        <v>1.8</v>
      </c>
      <c s="23" r="O2559">
        <v>0.004</v>
      </c>
      <c s="7" r="P2559"/>
      <c s="7" r="Q2559"/>
      <c s="7" r="R2559">
        <f>IF((P2559&gt;0),O2559,0)</f>
        <v>0</v>
      </c>
      <c t="str" r="S2559">
        <f>CONCATENATE(F2559,E2559)</f>
        <v>NON FTLNON FTL</v>
      </c>
    </row>
    <row r="2560">
      <c t="s" s="7" r="A2560">
        <v>201</v>
      </c>
      <c s="7" r="B2560">
        <v>2587</v>
      </c>
      <c s="30" r="C2560">
        <v>15</v>
      </c>
      <c t="s" s="30" r="D2560">
        <v>147</v>
      </c>
      <c t="s" s="30" r="E2560">
        <v>4</v>
      </c>
      <c t="s" s="30" r="F2560">
        <v>4</v>
      </c>
      <c t="s" s="30" r="G2560">
        <v>292</v>
      </c>
      <c t="str" s="12" r="H2560">
        <f>HYPERLINK("http://sofifa.com/en/fifa13winter/player/146147-michael-essien","M. Essien")</f>
        <v>M. Essien</v>
      </c>
      <c s="30" r="I2560">
        <v>81</v>
      </c>
      <c t="s" s="30" r="J2560">
        <v>154</v>
      </c>
      <c t="s" s="30" r="K2560">
        <v>159</v>
      </c>
      <c t="s" s="30" r="L2560">
        <v>179</v>
      </c>
      <c s="30" r="M2560">
        <v>29</v>
      </c>
      <c s="26" r="N2560">
        <v>9.7</v>
      </c>
      <c s="23" r="O2560">
        <v>0.043</v>
      </c>
      <c s="7" r="P2560"/>
      <c s="7" r="Q2560"/>
      <c s="7" r="R2560">
        <f>IF((P2560&gt;0),O2560,0)</f>
        <v>0</v>
      </c>
      <c t="str" r="S2560">
        <f>CONCATENATE(F2560,E2560)</f>
        <v>NON FTLNON FTL</v>
      </c>
    </row>
    <row r="2561">
      <c t="s" s="7" r="A2561">
        <v>201</v>
      </c>
      <c s="7" r="B2561">
        <v>2588</v>
      </c>
      <c s="30" r="C2561">
        <v>31</v>
      </c>
      <c t="s" s="30" r="D2561">
        <v>147</v>
      </c>
      <c t="s" s="30" r="E2561">
        <v>4</v>
      </c>
      <c t="s" s="30" r="F2561">
        <v>4</v>
      </c>
      <c t="s" s="30" r="G2561">
        <v>292</v>
      </c>
      <c t="str" s="12" r="H2561">
        <f>HYPERLINK("http://sofifa.com/en/fifa13winter/player/149601-fernando-pacheco-flores","Pacheco")</f>
        <v>Pacheco</v>
      </c>
      <c s="30" r="I2561">
        <v>62</v>
      </c>
      <c t="s" s="30" r="J2561">
        <v>106</v>
      </c>
      <c t="s" s="30" r="K2561">
        <v>155</v>
      </c>
      <c t="s" s="30" r="L2561">
        <v>193</v>
      </c>
      <c s="30" r="M2561">
        <v>20</v>
      </c>
      <c s="26" r="N2561">
        <v>0.6</v>
      </c>
      <c s="23" r="O2561">
        <v>0.003</v>
      </c>
      <c s="7" r="P2561"/>
      <c s="7" r="Q2561"/>
      <c s="7" r="R2561">
        <f>IF((P2561&gt;0),O2561,0)</f>
        <v>0</v>
      </c>
      <c t="str" r="S2561">
        <f>CONCATENATE(F2561,E2561)</f>
        <v>NON FTLNON FTL</v>
      </c>
    </row>
    <row r="2562">
      <c t="s" s="7" r="A2562">
        <v>201</v>
      </c>
      <c s="7" r="B2562">
        <v>2589</v>
      </c>
      <c s="30" r="C2562">
        <v>1</v>
      </c>
      <c t="s" s="30" r="D2562">
        <v>106</v>
      </c>
      <c t="s" s="30" r="E2562">
        <v>4</v>
      </c>
      <c t="s" s="30" r="F2562">
        <v>4</v>
      </c>
      <c t="s" s="30" r="G2562">
        <v>293</v>
      </c>
      <c t="str" s="12" r="H2562">
        <f>HYPERLINK("http://sofifa.com/en/fifa13winter/player/147357-manuel-neuer","M. Neuer")</f>
        <v>M. Neuer</v>
      </c>
      <c s="30" r="I2562">
        <v>86</v>
      </c>
      <c t="s" s="30" r="J2562">
        <v>106</v>
      </c>
      <c t="s" s="30" r="K2562">
        <v>107</v>
      </c>
      <c t="s" s="30" r="L2562">
        <v>135</v>
      </c>
      <c s="30" r="M2562">
        <v>26</v>
      </c>
      <c s="26" r="N2562">
        <v>19.8</v>
      </c>
      <c s="23" r="O2562">
        <v>0.135</v>
      </c>
      <c s="7" r="P2562"/>
      <c s="7" r="Q2562"/>
      <c s="7" r="R2562">
        <f>IF((P2562&gt;0),O2562,0)</f>
        <v>0</v>
      </c>
      <c t="str" r="S2562">
        <f>CONCATENATE(F2562,E2562)</f>
        <v>NON FTLNON FTL</v>
      </c>
    </row>
    <row r="2563">
      <c t="s" s="7" r="A2563">
        <v>201</v>
      </c>
      <c s="7" r="B2563">
        <v>2590</v>
      </c>
      <c s="30" r="C2563">
        <v>21</v>
      </c>
      <c t="s" s="30" r="D2563">
        <v>109</v>
      </c>
      <c t="s" s="30" r="E2563">
        <v>4</v>
      </c>
      <c t="s" s="30" r="F2563">
        <v>4</v>
      </c>
      <c t="s" s="30" r="G2563">
        <v>293</v>
      </c>
      <c t="str" s="12" r="H2563">
        <f>HYPERLINK("http://sofifa.com/en/fifa13winter/player/146490-philipp-lahm","P. Lahm")</f>
        <v>P. Lahm</v>
      </c>
      <c s="30" r="I2563">
        <v>87</v>
      </c>
      <c t="s" s="30" r="J2563">
        <v>109</v>
      </c>
      <c t="s" s="30" r="K2563">
        <v>121</v>
      </c>
      <c t="s" s="30" r="L2563">
        <v>149</v>
      </c>
      <c s="30" r="M2563">
        <v>28</v>
      </c>
      <c s="26" r="N2563">
        <v>29.1</v>
      </c>
      <c s="23" r="O2563">
        <v>0.177</v>
      </c>
      <c s="7" r="P2563"/>
      <c s="7" r="Q2563"/>
      <c s="7" r="R2563">
        <f>IF((P2563&gt;0),O2563,0)</f>
        <v>0</v>
      </c>
      <c t="str" r="S2563">
        <f>CONCATENATE(F2563,E2563)</f>
        <v>NON FTLNON FTL</v>
      </c>
    </row>
    <row r="2564">
      <c t="s" s="7" r="A2564">
        <v>201</v>
      </c>
      <c s="7" r="B2564">
        <v>2591</v>
      </c>
      <c s="30" r="C2564">
        <v>17</v>
      </c>
      <c t="s" s="30" r="D2564">
        <v>112</v>
      </c>
      <c t="s" s="30" r="E2564">
        <v>4</v>
      </c>
      <c t="s" s="30" r="F2564">
        <v>4</v>
      </c>
      <c t="s" s="30" r="G2564">
        <v>293</v>
      </c>
      <c t="str" s="12" r="H2564">
        <f>HYPERLINK("http://sofifa.com/en/fifa13winter/player/148248-jerome-boateng","J. Boateng")</f>
        <v>J. Boateng</v>
      </c>
      <c s="30" r="I2564">
        <v>79</v>
      </c>
      <c t="s" s="30" r="J2564">
        <v>113</v>
      </c>
      <c t="s" s="30" r="K2564">
        <v>165</v>
      </c>
      <c t="s" s="30" r="L2564">
        <v>178</v>
      </c>
      <c s="30" r="M2564">
        <v>23</v>
      </c>
      <c s="26" r="N2564">
        <v>8.1</v>
      </c>
      <c s="23" r="O2564">
        <v>0.021</v>
      </c>
      <c s="7" r="P2564"/>
      <c s="7" r="Q2564"/>
      <c s="7" r="R2564">
        <f>IF((P2564&gt;0),O2564,0)</f>
        <v>0</v>
      </c>
      <c t="str" r="S2564">
        <f>CONCATENATE(F2564,E2564)</f>
        <v>NON FTLNON FTL</v>
      </c>
    </row>
    <row r="2565">
      <c t="s" s="7" r="A2565">
        <v>201</v>
      </c>
      <c s="7" r="B2565">
        <v>2592</v>
      </c>
      <c s="30" r="C2565">
        <v>4</v>
      </c>
      <c t="s" s="30" r="D2565">
        <v>116</v>
      </c>
      <c t="s" s="30" r="E2565">
        <v>4</v>
      </c>
      <c t="s" s="30" r="F2565">
        <v>4</v>
      </c>
      <c t="s" s="30" r="G2565">
        <v>293</v>
      </c>
      <c t="str" s="12" r="H2565">
        <f>HYPERLINK("http://sofifa.com/en/fifa13winter/player/146466-dante-bonfim-costa-santos","Dante")</f>
        <v>Dante</v>
      </c>
      <c s="30" r="I2565">
        <v>84</v>
      </c>
      <c t="s" s="30" r="J2565">
        <v>113</v>
      </c>
      <c t="s" s="30" r="K2565">
        <v>134</v>
      </c>
      <c t="s" s="30" r="L2565">
        <v>192</v>
      </c>
      <c s="30" r="M2565">
        <v>28</v>
      </c>
      <c s="26" r="N2565">
        <v>16.2</v>
      </c>
      <c s="23" r="O2565">
        <v>0.087</v>
      </c>
      <c s="7" r="P2565"/>
      <c s="7" r="Q2565"/>
      <c s="7" r="R2565">
        <f>IF((P2565&gt;0),O2565,0)</f>
        <v>0</v>
      </c>
      <c t="str" r="S2565">
        <f>CONCATENATE(F2565,E2565)</f>
        <v>NON FTLNON FTL</v>
      </c>
    </row>
    <row r="2566">
      <c t="s" s="7" r="A2566">
        <v>201</v>
      </c>
      <c s="7" r="B2566">
        <v>2593</v>
      </c>
      <c s="30" r="C2566">
        <v>27</v>
      </c>
      <c t="s" s="30" r="D2566">
        <v>117</v>
      </c>
      <c t="s" s="30" r="E2566">
        <v>4</v>
      </c>
      <c t="s" s="30" r="F2566">
        <v>4</v>
      </c>
      <c t="s" s="30" r="G2566">
        <v>293</v>
      </c>
      <c t="str" s="12" r="H2566">
        <f>HYPERLINK("http://sofifa.com/en/fifa13winter/player/149638-david-alaba","D. Alaba")</f>
        <v>D. Alaba</v>
      </c>
      <c s="30" r="I2566">
        <v>79</v>
      </c>
      <c t="s" s="30" r="J2566">
        <v>117</v>
      </c>
      <c t="s" s="30" r="K2566">
        <v>114</v>
      </c>
      <c t="s" s="30" r="L2566">
        <v>151</v>
      </c>
      <c s="30" r="M2566">
        <v>20</v>
      </c>
      <c s="26" r="N2566">
        <v>8</v>
      </c>
      <c s="23" r="O2566">
        <v>0.018</v>
      </c>
      <c s="7" r="P2566"/>
      <c s="7" r="Q2566"/>
      <c s="7" r="R2566">
        <f>IF((P2566&gt;0),O2566,0)</f>
        <v>0</v>
      </c>
      <c t="str" r="S2566">
        <f>CONCATENATE(F2566,E2566)</f>
        <v>NON FTLNON FTL</v>
      </c>
    </row>
    <row r="2567">
      <c t="s" s="7" r="A2567">
        <v>201</v>
      </c>
      <c s="7" r="B2567">
        <v>2594</v>
      </c>
      <c s="30" r="C2567">
        <v>8</v>
      </c>
      <c t="s" s="30" r="D2567">
        <v>186</v>
      </c>
      <c t="s" s="30" r="E2567">
        <v>4</v>
      </c>
      <c t="s" s="30" r="F2567">
        <v>4</v>
      </c>
      <c t="s" s="30" r="G2567">
        <v>293</v>
      </c>
      <c t="str" s="12" r="H2567">
        <f>HYPERLINK("http://sofifa.com/en/fifa13winter/player/148247-javier-martinez-aginaga","Javi Martinez")</f>
        <v>Javi Martinez</v>
      </c>
      <c s="30" r="I2567">
        <v>83</v>
      </c>
      <c t="s" s="30" r="J2567">
        <v>154</v>
      </c>
      <c t="s" s="30" r="K2567">
        <v>152</v>
      </c>
      <c t="s" s="30" r="L2567">
        <v>183</v>
      </c>
      <c s="30" r="M2567">
        <v>23</v>
      </c>
      <c s="26" r="N2567">
        <v>17.4</v>
      </c>
      <c s="23" r="O2567">
        <v>0.065</v>
      </c>
      <c s="7" r="P2567"/>
      <c s="7" r="Q2567"/>
      <c s="7" r="R2567">
        <f>IF((P2567&gt;0),O2567,0)</f>
        <v>0</v>
      </c>
      <c t="str" r="S2567">
        <f>CONCATENATE(F2567,E2567)</f>
        <v>NON FTLNON FTL</v>
      </c>
    </row>
    <row r="2568">
      <c t="s" s="7" r="A2568">
        <v>201</v>
      </c>
      <c s="7" r="B2568">
        <v>2595</v>
      </c>
      <c s="30" r="C2568">
        <v>31</v>
      </c>
      <c t="s" s="30" r="D2568">
        <v>174</v>
      </c>
      <c t="s" s="30" r="E2568">
        <v>4</v>
      </c>
      <c t="s" s="30" r="F2568">
        <v>4</v>
      </c>
      <c t="s" s="30" r="G2568">
        <v>293</v>
      </c>
      <c t="str" s="12" r="H2568">
        <f>HYPERLINK("http://sofifa.com/en/fifa13winter/player/146754-bastian-schweinsteiger","B. Schweinsteiger")</f>
        <v>B. Schweinsteiger</v>
      </c>
      <c s="30" r="I2568">
        <v>87</v>
      </c>
      <c t="s" s="30" r="J2568">
        <v>124</v>
      </c>
      <c t="s" s="30" r="K2568">
        <v>110</v>
      </c>
      <c t="s" s="30" r="L2568">
        <v>158</v>
      </c>
      <c s="30" r="M2568">
        <v>28</v>
      </c>
      <c s="26" r="N2568">
        <v>32.7</v>
      </c>
      <c s="23" r="O2568">
        <v>0.177</v>
      </c>
      <c s="7" r="P2568"/>
      <c s="7" r="Q2568"/>
      <c s="7" r="R2568">
        <f>IF((P2568&gt;0),O2568,0)</f>
        <v>0</v>
      </c>
      <c t="str" r="S2568">
        <f>CONCATENATE(F2568,E2568)</f>
        <v>NON FTLNON FTL</v>
      </c>
    </row>
    <row r="2569">
      <c t="s" s="7" r="A2569">
        <v>201</v>
      </c>
      <c s="7" r="B2569">
        <v>2596</v>
      </c>
      <c s="30" r="C2569">
        <v>10</v>
      </c>
      <c t="s" s="30" r="D2569">
        <v>120</v>
      </c>
      <c t="s" s="30" r="E2569">
        <v>4</v>
      </c>
      <c t="s" s="30" r="F2569">
        <v>4</v>
      </c>
      <c t="s" s="30" r="G2569">
        <v>293</v>
      </c>
      <c t="str" s="12" r="H2569">
        <f>HYPERLINK("http://sofifa.com/en/fifa13winter/player/146563-arjen-robben","A. Robben")</f>
        <v>A. Robben</v>
      </c>
      <c s="30" r="I2569">
        <v>87</v>
      </c>
      <c t="s" s="30" r="J2569">
        <v>120</v>
      </c>
      <c t="s" s="30" r="K2569">
        <v>114</v>
      </c>
      <c t="s" s="30" r="L2569">
        <v>153</v>
      </c>
      <c s="30" r="M2569">
        <v>28</v>
      </c>
      <c s="26" r="N2569">
        <v>37</v>
      </c>
      <c s="23" r="O2569">
        <v>0.177</v>
      </c>
      <c s="7" r="P2569"/>
      <c s="7" r="Q2569"/>
      <c s="7" r="R2569">
        <f>IF((P2569&gt;0),O2569,0)</f>
        <v>0</v>
      </c>
      <c t="str" r="S2569">
        <f>CONCATENATE(F2569,E2569)</f>
        <v>NON FTLNON FTL</v>
      </c>
    </row>
    <row r="2570">
      <c t="s" s="7" r="A2570">
        <v>201</v>
      </c>
      <c s="7" r="B2570">
        <v>2597</v>
      </c>
      <c s="30" r="C2570">
        <v>7</v>
      </c>
      <c t="s" s="30" r="D2570">
        <v>128</v>
      </c>
      <c t="s" s="30" r="E2570">
        <v>4</v>
      </c>
      <c t="s" s="30" r="F2570">
        <v>4</v>
      </c>
      <c t="s" s="30" r="G2570">
        <v>293</v>
      </c>
      <c t="str" s="12" r="H2570">
        <f>HYPERLINK("http://sofifa.com/en/fifa13winter/player/146272-franck-ribery","F. Ribéry")</f>
        <v>F. Ribéry</v>
      </c>
      <c s="30" r="I2570">
        <v>90</v>
      </c>
      <c t="s" s="30" r="J2570">
        <v>128</v>
      </c>
      <c t="s" s="30" r="K2570">
        <v>121</v>
      </c>
      <c t="s" s="30" r="L2570">
        <v>146</v>
      </c>
      <c s="30" r="M2570">
        <v>29</v>
      </c>
      <c s="26" r="N2570">
        <v>49.2</v>
      </c>
      <c s="23" r="O2570">
        <v>0.297</v>
      </c>
      <c s="7" r="P2570"/>
      <c s="7" r="Q2570"/>
      <c s="7" r="R2570">
        <f>IF((P2570&gt;0),O2570,0)</f>
        <v>0</v>
      </c>
      <c t="str" r="S2570">
        <f>CONCATENATE(F2570,E2570)</f>
        <v>NON FTLNON FTL</v>
      </c>
    </row>
    <row r="2571">
      <c t="s" s="7" r="A2571">
        <v>201</v>
      </c>
      <c s="7" r="B2571">
        <v>2598</v>
      </c>
      <c s="30" r="C2571">
        <v>25</v>
      </c>
      <c t="s" s="30" r="D2571">
        <v>162</v>
      </c>
      <c t="s" s="30" r="E2571">
        <v>4</v>
      </c>
      <c t="s" s="30" r="F2571">
        <v>4</v>
      </c>
      <c t="s" s="30" r="G2571">
        <v>293</v>
      </c>
      <c t="str" s="12" r="H2571">
        <f>HYPERLINK("http://sofifa.com/en/fifa13winter/player/148623-thomas-muller","T. Müller")</f>
        <v>T. Müller</v>
      </c>
      <c s="30" r="I2571">
        <v>84</v>
      </c>
      <c t="s" s="30" r="J2571">
        <v>120</v>
      </c>
      <c t="s" s="30" r="K2571">
        <v>173</v>
      </c>
      <c t="s" s="30" r="L2571">
        <v>160</v>
      </c>
      <c s="30" r="M2571">
        <v>22</v>
      </c>
      <c s="26" r="N2571">
        <v>20.8</v>
      </c>
      <c s="23" r="O2571">
        <v>0.077</v>
      </c>
      <c s="7" r="P2571"/>
      <c s="7" r="Q2571"/>
      <c s="7" r="R2571">
        <f>IF((P2571&gt;0),O2571,0)</f>
        <v>0</v>
      </c>
      <c t="str" r="S2571">
        <f>CONCATENATE(F2571,E2571)</f>
        <v>NON FTLNON FTL</v>
      </c>
    </row>
    <row r="2572">
      <c t="s" s="7" r="A2572">
        <v>201</v>
      </c>
      <c s="7" r="B2572">
        <v>2599</v>
      </c>
      <c s="30" r="C2572">
        <v>9</v>
      </c>
      <c t="s" s="30" r="D2572">
        <v>129</v>
      </c>
      <c t="s" s="30" r="E2572">
        <v>4</v>
      </c>
      <c t="s" s="30" r="F2572">
        <v>4</v>
      </c>
      <c t="s" s="30" r="G2572">
        <v>293</v>
      </c>
      <c t="str" s="12" r="H2572">
        <f>HYPERLINK("http://sofifa.com/en/fifa13winter/player/147412-mario-mandzukic","M. Mandžukić")</f>
        <v>M. Mandžukić</v>
      </c>
      <c s="30" r="I2572">
        <v>83</v>
      </c>
      <c t="s" s="30" r="J2572">
        <v>129</v>
      </c>
      <c t="s" s="30" r="K2572">
        <v>155</v>
      </c>
      <c t="s" s="30" r="L2572">
        <v>156</v>
      </c>
      <c s="30" r="M2572">
        <v>26</v>
      </c>
      <c s="26" r="N2572">
        <v>19.9</v>
      </c>
      <c s="23" r="O2572">
        <v>0.068</v>
      </c>
      <c s="7" r="P2572"/>
      <c s="7" r="Q2572"/>
      <c s="7" r="R2572">
        <f>IF((P2572&gt;0),O2572,0)</f>
        <v>0</v>
      </c>
      <c t="str" r="S2572">
        <f>CONCATENATE(F2572,E2572)</f>
        <v>NON FTLNON FTL</v>
      </c>
    </row>
    <row r="2573">
      <c t="s" s="7" r="A2573">
        <v>201</v>
      </c>
      <c s="7" r="B2573">
        <v>2600</v>
      </c>
      <c s="30" r="C2573">
        <v>28</v>
      </c>
      <c t="s" s="30" r="D2573">
        <v>136</v>
      </c>
      <c t="s" s="30" r="E2573">
        <v>4</v>
      </c>
      <c t="s" s="30" r="F2573">
        <v>4</v>
      </c>
      <c t="s" s="30" r="G2573">
        <v>293</v>
      </c>
      <c t="str" s="12" r="H2573">
        <f>HYPERLINK("http://sofifa.com/en/fifa13winter/player/148439-holger-badstuber","H. Badstuber")</f>
        <v>H. Badstuber</v>
      </c>
      <c s="30" r="I2573">
        <v>82</v>
      </c>
      <c t="s" s="30" r="J2573">
        <v>113</v>
      </c>
      <c t="s" s="30" r="K2573">
        <v>152</v>
      </c>
      <c t="s" s="30" r="L2573">
        <v>108</v>
      </c>
      <c s="30" r="M2573">
        <v>23</v>
      </c>
      <c s="26" r="N2573">
        <v>14.9</v>
      </c>
      <c s="23" r="O2573">
        <v>0.051</v>
      </c>
      <c s="7" r="P2573"/>
      <c s="7" r="Q2573"/>
      <c s="7" r="R2573">
        <f>IF((P2573&gt;0),O2573,0)</f>
        <v>0</v>
      </c>
      <c t="str" r="S2573">
        <f>CONCATENATE(F2573,E2573)</f>
        <v>NON FTLNON FTL</v>
      </c>
    </row>
    <row r="2574">
      <c t="s" s="7" r="A2574">
        <v>201</v>
      </c>
      <c s="7" r="B2574">
        <v>2601</v>
      </c>
      <c s="30" r="C2574">
        <v>11</v>
      </c>
      <c t="s" s="30" r="D2574">
        <v>136</v>
      </c>
      <c t="s" s="30" r="E2574">
        <v>4</v>
      </c>
      <c t="s" s="30" r="F2574">
        <v>4</v>
      </c>
      <c t="s" s="30" r="G2574">
        <v>293</v>
      </c>
      <c t="str" s="12" r="H2574">
        <f>HYPERLINK("http://sofifa.com/en/fifa13winter/player/149380-xherdan-shaqiri","X. Shaqiri")</f>
        <v>X. Shaqiri</v>
      </c>
      <c s="30" r="I2574">
        <v>79</v>
      </c>
      <c t="s" s="30" r="J2574">
        <v>120</v>
      </c>
      <c t="s" s="30" r="K2574">
        <v>205</v>
      </c>
      <c t="s" s="30" r="L2574">
        <v>146</v>
      </c>
      <c s="30" r="M2574">
        <v>20</v>
      </c>
      <c s="26" r="N2574">
        <v>9.5</v>
      </c>
      <c s="23" r="O2574">
        <v>0.018</v>
      </c>
      <c s="7" r="P2574"/>
      <c s="7" r="Q2574"/>
      <c s="7" r="R2574">
        <f>IF((P2574&gt;0),O2574,0)</f>
        <v>0</v>
      </c>
      <c t="str" r="S2574">
        <f>CONCATENATE(F2574,E2574)</f>
        <v>NON FTLNON FTL</v>
      </c>
    </row>
    <row r="2575">
      <c t="s" s="7" r="A2575">
        <v>201</v>
      </c>
      <c s="7" r="B2575">
        <v>2602</v>
      </c>
      <c s="30" r="C2575">
        <v>26</v>
      </c>
      <c t="s" s="30" r="D2575">
        <v>136</v>
      </c>
      <c t="s" s="30" r="E2575">
        <v>4</v>
      </c>
      <c t="s" s="30" r="F2575">
        <v>4</v>
      </c>
      <c t="s" s="30" r="G2575">
        <v>293</v>
      </c>
      <c t="str" s="12" r="H2575">
        <f>HYPERLINK("http://sofifa.com/en/fifa13winter/player/148853-diego-contento","D. Contento")</f>
        <v>D. Contento</v>
      </c>
      <c s="30" r="I2575">
        <v>71</v>
      </c>
      <c t="s" s="30" r="J2575">
        <v>117</v>
      </c>
      <c t="s" s="30" r="K2575">
        <v>159</v>
      </c>
      <c t="s" s="30" r="L2575">
        <v>160</v>
      </c>
      <c s="30" r="M2575">
        <v>22</v>
      </c>
      <c s="26" r="N2575">
        <v>2.2</v>
      </c>
      <c s="23" r="O2575">
        <v>0.007</v>
      </c>
      <c s="7" r="P2575"/>
      <c s="7" r="Q2575"/>
      <c s="7" r="R2575">
        <f>IF((P2575&gt;0),O2575,0)</f>
        <v>0</v>
      </c>
      <c t="str" r="S2575">
        <f>CONCATENATE(F2575,E2575)</f>
        <v>NON FTLNON FTL</v>
      </c>
    </row>
    <row r="2576">
      <c t="s" s="7" r="A2576">
        <v>201</v>
      </c>
      <c s="7" r="B2576">
        <v>2603</v>
      </c>
      <c s="30" r="C2576">
        <v>36</v>
      </c>
      <c t="s" s="30" r="D2576">
        <v>136</v>
      </c>
      <c t="s" s="30" r="E2576">
        <v>4</v>
      </c>
      <c t="s" s="30" r="F2576">
        <v>4</v>
      </c>
      <c t="s" s="30" r="G2576">
        <v>293</v>
      </c>
      <c t="str" s="12" r="H2576">
        <f>HYPERLINK("http://sofifa.com/en/fifa13winter/player/150205-emre-can","E. Can")</f>
        <v>E. Can</v>
      </c>
      <c s="30" r="I2576">
        <v>66</v>
      </c>
      <c t="s" s="30" r="J2576">
        <v>154</v>
      </c>
      <c t="s" s="30" r="K2576">
        <v>167</v>
      </c>
      <c t="s" s="30" r="L2576">
        <v>193</v>
      </c>
      <c s="30" r="M2576">
        <v>18</v>
      </c>
      <c s="26" r="N2576">
        <v>1.3</v>
      </c>
      <c s="23" r="O2576">
        <v>0.004</v>
      </c>
      <c s="7" r="P2576"/>
      <c s="7" r="Q2576"/>
      <c s="7" r="R2576">
        <f>IF((P2576&gt;0),O2576,0)</f>
        <v>0</v>
      </c>
      <c t="str" r="S2576">
        <f>CONCATENATE(F2576,E2576)</f>
        <v>NON FTLNON FTL</v>
      </c>
    </row>
    <row r="2577">
      <c t="s" s="7" r="A2577">
        <v>201</v>
      </c>
      <c s="7" r="B2577">
        <v>2604</v>
      </c>
      <c s="30" r="C2577">
        <v>30</v>
      </c>
      <c t="s" s="30" r="D2577">
        <v>136</v>
      </c>
      <c t="s" s="30" r="E2577">
        <v>4</v>
      </c>
      <c t="s" s="30" r="F2577">
        <v>4</v>
      </c>
      <c t="s" s="30" r="G2577">
        <v>293</v>
      </c>
      <c t="str" s="12" r="H2577">
        <f>HYPERLINK("http://sofifa.com/en/fifa13winter/player/147840-luiz-gustavo-dias","Luiz Gustavo")</f>
        <v>Luiz Gustavo</v>
      </c>
      <c s="30" r="I2577">
        <v>81</v>
      </c>
      <c t="s" s="30" r="J2577">
        <v>154</v>
      </c>
      <c t="s" s="30" r="K2577">
        <v>155</v>
      </c>
      <c t="s" s="30" r="L2577">
        <v>153</v>
      </c>
      <c s="30" r="M2577">
        <v>25</v>
      </c>
      <c s="26" r="N2577">
        <v>11.6</v>
      </c>
      <c s="23" r="O2577">
        <v>0.04</v>
      </c>
      <c s="7" r="P2577"/>
      <c s="7" r="Q2577"/>
      <c s="7" r="R2577">
        <f>IF((P2577&gt;0),O2577,0)</f>
        <v>0</v>
      </c>
      <c t="str" r="S2577">
        <f>CONCATENATE(F2577,E2577)</f>
        <v>NON FTLNON FTL</v>
      </c>
    </row>
    <row r="2578">
      <c t="s" s="7" r="A2578">
        <v>201</v>
      </c>
      <c s="7" r="B2578">
        <v>2605</v>
      </c>
      <c s="30" r="C2578">
        <v>39</v>
      </c>
      <c t="s" s="30" r="D2578">
        <v>136</v>
      </c>
      <c t="s" s="30" r="E2578">
        <v>4</v>
      </c>
      <c t="s" s="30" r="F2578">
        <v>4</v>
      </c>
      <c t="s" s="30" r="G2578">
        <v>293</v>
      </c>
      <c t="str" s="12" r="H2578">
        <f>HYPERLINK("http://sofifa.com/en/fifa13winter/player/148736-toni-kroos","T. Kroos")</f>
        <v>T. Kroos</v>
      </c>
      <c s="30" r="I2578">
        <v>84</v>
      </c>
      <c t="s" s="30" r="J2578">
        <v>162</v>
      </c>
      <c t="s" s="30" r="K2578">
        <v>143</v>
      </c>
      <c t="s" s="30" r="L2578">
        <v>161</v>
      </c>
      <c s="30" r="M2578">
        <v>22</v>
      </c>
      <c s="26" r="N2578">
        <v>25.6</v>
      </c>
      <c s="23" r="O2578">
        <v>0.077</v>
      </c>
      <c s="7" r="P2578"/>
      <c s="7" r="Q2578"/>
      <c s="7" r="R2578">
        <f>IF((P2578&gt;0),O2578,0)</f>
        <v>0</v>
      </c>
      <c t="str" r="S2578">
        <f>CONCATENATE(F2578,E2578)</f>
        <v>NON FTLNON FTL</v>
      </c>
    </row>
    <row r="2579">
      <c t="s" s="7" r="A2579">
        <v>201</v>
      </c>
      <c s="7" r="B2579">
        <v>2606</v>
      </c>
      <c s="30" r="C2579">
        <v>13</v>
      </c>
      <c t="s" s="30" r="D2579">
        <v>136</v>
      </c>
      <c t="s" s="30" r="E2579">
        <v>4</v>
      </c>
      <c t="s" s="30" r="F2579">
        <v>4</v>
      </c>
      <c t="s" s="30" r="G2579">
        <v>293</v>
      </c>
      <c t="str" s="12" r="H2579">
        <f>HYPERLINK("http://sofifa.com/en/fifa13winter/player/147156-marcio-rafael-ferreira-de-souza","Rafinha")</f>
        <v>Rafinha</v>
      </c>
      <c s="30" r="I2579">
        <v>76</v>
      </c>
      <c t="s" s="30" r="J2579">
        <v>109</v>
      </c>
      <c t="s" s="30" r="K2579">
        <v>195</v>
      </c>
      <c t="s" s="30" r="L2579">
        <v>125</v>
      </c>
      <c s="30" r="M2579">
        <v>26</v>
      </c>
      <c s="26" r="N2579">
        <v>4.5</v>
      </c>
      <c s="23" r="O2579">
        <v>0.015</v>
      </c>
      <c s="7" r="P2579"/>
      <c s="7" r="Q2579"/>
      <c s="7" r="R2579">
        <f>IF((P2579&gt;0),O2579,0)</f>
        <v>0</v>
      </c>
      <c t="str" r="S2579">
        <f>CONCATENATE(F2579,E2579)</f>
        <v>NON FTLNON FTL</v>
      </c>
    </row>
    <row r="2580">
      <c t="s" s="7" r="A2580">
        <v>201</v>
      </c>
      <c s="7" r="B2580">
        <v>2607</v>
      </c>
      <c s="30" r="C2580">
        <v>33</v>
      </c>
      <c t="s" s="30" r="D2580">
        <v>136</v>
      </c>
      <c t="s" s="30" r="E2580">
        <v>4</v>
      </c>
      <c t="s" s="30" r="F2580">
        <v>4</v>
      </c>
      <c t="s" s="30" r="G2580">
        <v>293</v>
      </c>
      <c t="str" s="12" r="H2580">
        <f>HYPERLINK("http://sofifa.com/en/fifa13winter/player/147097-mario-gomez","M. Gomez")</f>
        <v>M. Gomez</v>
      </c>
      <c s="30" r="I2580">
        <v>86</v>
      </c>
      <c t="s" s="30" r="J2580">
        <v>129</v>
      </c>
      <c t="s" s="30" r="K2580">
        <v>169</v>
      </c>
      <c t="s" s="30" r="L2580">
        <v>175</v>
      </c>
      <c s="30" r="M2580">
        <v>27</v>
      </c>
      <c s="26" r="N2580">
        <v>32.2</v>
      </c>
      <c s="23" r="O2580">
        <v>0.135</v>
      </c>
      <c s="7" r="P2580"/>
      <c s="7" r="Q2580"/>
      <c s="7" r="R2580">
        <f>IF((P2580&gt;0),O2580,0)</f>
        <v>0</v>
      </c>
      <c t="str" r="S2580">
        <f>CONCATENATE(F2580,E2580)</f>
        <v>NON FTLNON FTL</v>
      </c>
    </row>
    <row r="2581">
      <c t="s" s="7" r="A2581">
        <v>201</v>
      </c>
      <c s="7" r="B2581">
        <v>2608</v>
      </c>
      <c s="30" r="C2581">
        <v>44</v>
      </c>
      <c t="s" s="30" r="D2581">
        <v>136</v>
      </c>
      <c t="s" s="30" r="E2581">
        <v>4</v>
      </c>
      <c t="s" s="30" r="F2581">
        <v>4</v>
      </c>
      <c t="s" s="30" r="G2581">
        <v>293</v>
      </c>
      <c t="str" s="12" r="H2581">
        <f>HYPERLINK("http://sofifa.com/en/fifa13winter/player/144803-anatoliy-tymoshchuk","A. Tymoshchuk")</f>
        <v>A. Tymoshchuk</v>
      </c>
      <c s="30" r="I2581">
        <v>77</v>
      </c>
      <c t="s" s="30" r="J2581">
        <v>154</v>
      </c>
      <c t="s" s="30" r="K2581">
        <v>150</v>
      </c>
      <c t="s" s="30" r="L2581">
        <v>151</v>
      </c>
      <c s="30" r="M2581">
        <v>33</v>
      </c>
      <c s="26" r="N2581">
        <v>3.7</v>
      </c>
      <c s="23" r="O2581">
        <v>0.021</v>
      </c>
      <c s="7" r="P2581"/>
      <c s="7" r="Q2581"/>
      <c s="7" r="R2581">
        <f>IF((P2581&gt;0),O2581,0)</f>
        <v>0</v>
      </c>
      <c t="str" r="S2581">
        <f>CONCATENATE(F2581,E2581)</f>
        <v>NON FTLNON FTL</v>
      </c>
    </row>
    <row r="2582">
      <c t="s" s="7" r="A2582">
        <v>201</v>
      </c>
      <c s="7" r="B2582">
        <v>2609</v>
      </c>
      <c s="30" r="C2582">
        <v>22</v>
      </c>
      <c t="s" s="30" r="D2582">
        <v>136</v>
      </c>
      <c t="s" s="30" r="E2582">
        <v>4</v>
      </c>
      <c t="s" s="30" r="F2582">
        <v>4</v>
      </c>
      <c t="s" s="30" r="G2582">
        <v>293</v>
      </c>
      <c t="str" s="12" r="H2582">
        <f>HYPERLINK("http://sofifa.com/en/fifa13winter/player/145522-tom-starke","T. Starke")</f>
        <v>T. Starke</v>
      </c>
      <c s="30" r="I2582">
        <v>76</v>
      </c>
      <c t="s" s="30" r="J2582">
        <v>106</v>
      </c>
      <c t="s" s="30" r="K2582">
        <v>188</v>
      </c>
      <c t="s" s="30" r="L2582">
        <v>257</v>
      </c>
      <c s="30" r="M2582">
        <v>31</v>
      </c>
      <c s="26" r="N2582">
        <v>3.3</v>
      </c>
      <c s="23" r="O2582">
        <v>0.017</v>
      </c>
      <c s="7" r="P2582"/>
      <c s="7" r="Q2582"/>
      <c s="7" r="R2582">
        <f>IF((P2582&gt;0),O2582,0)</f>
        <v>0</v>
      </c>
      <c t="str" r="S2582">
        <f>CONCATENATE(F2582,E2582)</f>
        <v>NON FTLNON FTL</v>
      </c>
    </row>
    <row r="2583">
      <c t="s" s="7" r="A2583">
        <v>201</v>
      </c>
      <c s="7" r="B2583">
        <v>2610</v>
      </c>
      <c s="30" r="C2583">
        <v>14</v>
      </c>
      <c t="s" s="30" r="D2583">
        <v>136</v>
      </c>
      <c t="s" s="30" r="E2583">
        <v>4</v>
      </c>
      <c t="s" s="30" r="F2583">
        <v>4</v>
      </c>
      <c t="s" s="30" r="G2583">
        <v>293</v>
      </c>
      <c t="str" s="12" r="H2583">
        <f>HYPERLINK("http://sofifa.com/en/fifa13winter/player/144625-claudio-pizarro","C. Pizarro")</f>
        <v>C. Pizarro</v>
      </c>
      <c s="30" r="I2583">
        <v>81</v>
      </c>
      <c t="s" s="30" r="J2583">
        <v>129</v>
      </c>
      <c t="s" s="30" r="K2583">
        <v>167</v>
      </c>
      <c t="s" s="30" r="L2583">
        <v>156</v>
      </c>
      <c s="30" r="M2583">
        <v>33</v>
      </c>
      <c s="26" r="N2583">
        <v>9.7</v>
      </c>
      <c s="23" r="O2583">
        <v>0.05</v>
      </c>
      <c s="7" r="P2583"/>
      <c s="7" r="Q2583"/>
      <c s="7" r="R2583">
        <f>IF((P2583&gt;0),O2583,0)</f>
        <v>0</v>
      </c>
      <c t="str" r="S2583">
        <f>CONCATENATE(F2583,E2583)</f>
        <v>NON FTLNON FTL</v>
      </c>
    </row>
    <row r="2584">
      <c t="s" s="7" r="A2584">
        <v>201</v>
      </c>
      <c s="7" r="B2584">
        <v>2611</v>
      </c>
      <c s="30" r="C2584">
        <v>5</v>
      </c>
      <c t="s" s="30" r="D2584">
        <v>136</v>
      </c>
      <c t="s" s="30" r="E2584">
        <v>4</v>
      </c>
      <c t="s" s="30" r="F2584">
        <v>4</v>
      </c>
      <c t="s" s="30" r="G2584">
        <v>293</v>
      </c>
      <c t="str" s="12" r="H2584">
        <f>HYPERLINK("http://sofifa.com/en/fifa13winter/player/144387-daniel-van-buyten","D. van Buyten")</f>
        <v>D. van Buyten</v>
      </c>
      <c s="30" r="I2584">
        <v>78</v>
      </c>
      <c t="s" s="30" r="J2584">
        <v>113</v>
      </c>
      <c t="s" s="30" r="K2584">
        <v>215</v>
      </c>
      <c t="s" s="30" r="L2584">
        <v>194</v>
      </c>
      <c s="30" r="M2584">
        <v>34</v>
      </c>
      <c s="26" r="N2584">
        <v>4.9</v>
      </c>
      <c s="23" r="O2584">
        <v>0.024</v>
      </c>
      <c s="7" r="P2584"/>
      <c s="7" r="Q2584"/>
      <c s="7" r="R2584">
        <f>IF((P2584&gt;0),O2584,0)</f>
        <v>0</v>
      </c>
      <c t="str" r="S2584">
        <f>CONCATENATE(F2584,E2584)</f>
        <v>NON FTLNON FTL</v>
      </c>
    </row>
    <row r="2585">
      <c t="s" s="7" r="A2585">
        <v>201</v>
      </c>
      <c s="7" r="B2585">
        <v>2612</v>
      </c>
      <c s="30" r="C2585">
        <v>40</v>
      </c>
      <c t="s" s="30" r="D2585">
        <v>147</v>
      </c>
      <c t="s" s="30" r="E2585">
        <v>4</v>
      </c>
      <c t="s" s="30" r="F2585">
        <v>4</v>
      </c>
      <c t="s" s="30" r="G2585">
        <v>293</v>
      </c>
      <c t="str" s="12" r="H2585">
        <f>HYPERLINK("http://sofifa.com/en/fifa13winter/player/150006-vladimir-rankovic","V. Rankovic")</f>
        <v>V. Rankovic</v>
      </c>
      <c s="30" r="I2585">
        <v>57</v>
      </c>
      <c t="s" s="30" r="J2585">
        <v>109</v>
      </c>
      <c t="s" s="30" r="K2585">
        <v>187</v>
      </c>
      <c t="s" s="30" r="L2585">
        <v>149</v>
      </c>
      <c s="30" r="M2585">
        <v>19</v>
      </c>
      <c s="26" r="N2585">
        <v>0.2</v>
      </c>
      <c s="23" r="O2585">
        <v>0.002</v>
      </c>
      <c s="7" r="P2585"/>
      <c s="7" r="Q2585"/>
      <c s="7" r="R2585">
        <f>IF((P2585&gt;0),O2585,0)</f>
        <v>0</v>
      </c>
      <c t="str" r="S2585">
        <f>CONCATENATE(F2585,E2585)</f>
        <v>NON FTLNON FTL</v>
      </c>
    </row>
    <row r="2586">
      <c t="s" s="7" r="A2586">
        <v>201</v>
      </c>
      <c s="7" r="B2586">
        <v>2613</v>
      </c>
      <c s="30" r="C2586">
        <v>20</v>
      </c>
      <c t="s" s="30" r="D2586">
        <v>147</v>
      </c>
      <c t="s" s="30" r="E2586">
        <v>4</v>
      </c>
      <c t="s" s="30" r="F2586">
        <v>4</v>
      </c>
      <c t="s" s="30" r="G2586">
        <v>293</v>
      </c>
      <c t="str" s="12" r="H2586">
        <f>HYPERLINK("http://sofifa.com/en/fifa13winter/player/150255-patrick-weihrauch","P. Weihrauch")</f>
        <v>P. Weihrauch</v>
      </c>
      <c s="30" r="I2586">
        <v>61</v>
      </c>
      <c t="s" s="30" r="J2586">
        <v>129</v>
      </c>
      <c t="s" s="30" r="K2586">
        <v>143</v>
      </c>
      <c t="s" s="30" r="L2586">
        <v>119</v>
      </c>
      <c s="30" r="M2586">
        <v>18</v>
      </c>
      <c s="26" r="N2586">
        <v>0.8</v>
      </c>
      <c s="23" r="O2586">
        <v>0.003</v>
      </c>
      <c s="7" r="P2586"/>
      <c s="7" r="Q2586"/>
      <c s="7" r="R2586">
        <f>IF((P2586&gt;0),O2586,0)</f>
        <v>0</v>
      </c>
      <c t="str" r="S2586">
        <f>CONCATENATE(F2586,E2586)</f>
        <v>NON FTLNON FTL</v>
      </c>
    </row>
    <row r="2587">
      <c t="s" s="7" r="A2587">
        <v>201</v>
      </c>
      <c s="7" r="B2587">
        <v>2614</v>
      </c>
      <c s="30" r="C2587">
        <v>32</v>
      </c>
      <c t="s" s="30" r="D2587">
        <v>147</v>
      </c>
      <c t="s" s="30" r="E2587">
        <v>4</v>
      </c>
      <c t="s" s="30" r="F2587">
        <v>4</v>
      </c>
      <c t="s" s="30" r="G2587">
        <v>293</v>
      </c>
      <c t="str" s="12" r="H2587">
        <f>HYPERLINK("http://sofifa.com/en/fifa13winter/player/150192-lukas-raeder","L. Raeder")</f>
        <v>L. Raeder</v>
      </c>
      <c s="30" r="I2587">
        <v>60</v>
      </c>
      <c t="s" s="30" r="J2587">
        <v>106</v>
      </c>
      <c t="s" s="30" r="K2587">
        <v>188</v>
      </c>
      <c t="s" s="30" r="L2587">
        <v>135</v>
      </c>
      <c s="30" r="M2587">
        <v>18</v>
      </c>
      <c s="26" r="N2587">
        <v>0.5</v>
      </c>
      <c s="23" r="O2587">
        <v>0.002</v>
      </c>
      <c s="7" r="P2587"/>
      <c s="7" r="Q2587"/>
      <c s="7" r="R2587">
        <f>IF((P2587&gt;0),O2587,0)</f>
        <v>0</v>
      </c>
      <c t="str" r="S2587">
        <f>CONCATENATE(F2587,E2587)</f>
        <v>NON FTLNON FTL</v>
      </c>
    </row>
    <row r="2588">
      <c t="s" s="7" r="A2588">
        <v>201</v>
      </c>
      <c s="7" r="B2588">
        <v>2615</v>
      </c>
      <c s="30" r="C2588">
        <v>24</v>
      </c>
      <c t="s" s="30" r="D2588">
        <v>147</v>
      </c>
      <c t="s" s="30" r="E2588">
        <v>4</v>
      </c>
      <c t="s" s="30" r="F2588">
        <v>4</v>
      </c>
      <c t="s" s="30" r="G2588">
        <v>293</v>
      </c>
      <c t="str" s="12" r="H2588">
        <f>HYPERLINK("http://sofifa.com/en/fifa13winter/player/148005-maximilian-riedmuller","M. Riedmüller")</f>
        <v>M. Riedmüller</v>
      </c>
      <c s="30" r="I2588">
        <v>63</v>
      </c>
      <c t="s" s="30" r="J2588">
        <v>106</v>
      </c>
      <c t="s" s="30" r="K2588">
        <v>169</v>
      </c>
      <c t="s" s="30" r="L2588">
        <v>193</v>
      </c>
      <c s="30" r="M2588">
        <v>24</v>
      </c>
      <c s="26" r="N2588">
        <v>0.7</v>
      </c>
      <c s="23" r="O2588">
        <v>0.004</v>
      </c>
      <c s="7" r="P2588"/>
      <c s="7" r="Q2588"/>
      <c s="7" r="R2588">
        <f>IF((P2588&gt;0),O2588,0)</f>
        <v>0</v>
      </c>
      <c t="str" r="S2588">
        <f>CONCATENATE(F2588,E2588)</f>
        <v>NON FTLNON FTL</v>
      </c>
    </row>
    <row r="2589">
      <c t="s" s="7" r="A2589">
        <v>201</v>
      </c>
      <c s="7" r="B2589">
        <v>2616</v>
      </c>
      <c s="30" r="C2589">
        <v>34</v>
      </c>
      <c t="s" s="30" r="D2589">
        <v>147</v>
      </c>
      <c t="s" s="30" r="E2589">
        <v>4</v>
      </c>
      <c t="s" s="30" r="F2589">
        <v>4</v>
      </c>
      <c t="s" s="30" r="G2589">
        <v>293</v>
      </c>
      <c t="str" s="12" r="H2589">
        <f>HYPERLINK("http://sofifa.com/en/fifa13winter/player/150775-pierre-emile-hojbjerg","P. Højbjerg")</f>
        <v>P. Højbjerg</v>
      </c>
      <c s="30" r="I2589">
        <v>63</v>
      </c>
      <c t="s" s="30" r="J2589">
        <v>124</v>
      </c>
      <c t="s" s="30" r="K2589">
        <v>155</v>
      </c>
      <c t="s" s="30" r="L2589">
        <v>183</v>
      </c>
      <c s="30" r="M2589">
        <v>17</v>
      </c>
      <c s="26" r="N2589">
        <v>0.9</v>
      </c>
      <c s="23" r="O2589">
        <v>0.003</v>
      </c>
      <c s="7" r="P2589"/>
      <c s="7" r="Q2589"/>
      <c s="7" r="R2589">
        <f>IF((P2589&gt;0),O2589,0)</f>
        <v>0</v>
      </c>
      <c t="str" r="S2589">
        <f>CONCATENATE(F2589,E2589)</f>
        <v>NON FTLNON FTL</v>
      </c>
    </row>
    <row r="2590">
      <c t="s" s="7" r="A2590">
        <v>201</v>
      </c>
      <c s="7" r="B2590">
        <v>2617</v>
      </c>
      <c s="30" r="C2590">
        <v>1</v>
      </c>
      <c t="s" s="30" r="D2590">
        <v>106</v>
      </c>
      <c t="s" s="30" r="E2590">
        <v>4</v>
      </c>
      <c t="s" s="30" r="F2590">
        <v>4</v>
      </c>
      <c t="s" s="30" r="G2590">
        <v>294</v>
      </c>
      <c t="str" s="12" r="H2590">
        <f>HYPERLINK("http://sofifa.com/en/fifa13winter/player/144377-gianluigi-buffon","G. Buffon")</f>
        <v>G. Buffon</v>
      </c>
      <c s="30" r="I2590">
        <v>87</v>
      </c>
      <c t="s" s="30" r="J2590">
        <v>106</v>
      </c>
      <c t="s" s="30" r="K2590">
        <v>144</v>
      </c>
      <c t="s" s="30" r="L2590">
        <v>108</v>
      </c>
      <c s="30" r="M2590">
        <v>34</v>
      </c>
      <c s="26" r="N2590">
        <v>15.6</v>
      </c>
      <c s="23" r="O2590">
        <v>0.218</v>
      </c>
      <c s="7" r="P2590"/>
      <c s="7" r="Q2590"/>
      <c s="7" r="R2590">
        <f>IF((P2590&gt;0),O2590,0)</f>
        <v>0</v>
      </c>
      <c t="str" r="S2590">
        <f>CONCATENATE(F2590,E2590)</f>
        <v>NON FTLNON FTL</v>
      </c>
    </row>
    <row r="2591">
      <c t="s" s="7" r="A2591">
        <v>201</v>
      </c>
      <c s="7" r="B2591">
        <v>2618</v>
      </c>
      <c s="30" r="C2591">
        <v>15</v>
      </c>
      <c t="s" s="30" r="D2591">
        <v>112</v>
      </c>
      <c t="s" s="30" r="E2591">
        <v>4</v>
      </c>
      <c t="s" s="30" r="F2591">
        <v>4</v>
      </c>
      <c t="s" s="30" r="G2591">
        <v>294</v>
      </c>
      <c t="str" s="12" r="H2591">
        <f>HYPERLINK("http://sofifa.com/en/fifa13winter/player/145573-andrea-barzagli","A. Barzagli")</f>
        <v>A. Barzagli</v>
      </c>
      <c s="30" r="I2591">
        <v>85</v>
      </c>
      <c t="s" s="30" r="J2591">
        <v>113</v>
      </c>
      <c t="s" s="30" r="K2591">
        <v>173</v>
      </c>
      <c t="s" s="30" r="L2591">
        <v>158</v>
      </c>
      <c s="30" r="M2591">
        <v>31</v>
      </c>
      <c s="26" r="N2591">
        <v>17.2</v>
      </c>
      <c s="23" r="O2591">
        <v>0.116</v>
      </c>
      <c s="7" r="P2591"/>
      <c s="7" r="Q2591"/>
      <c s="7" r="R2591">
        <f>IF((P2591&gt;0),O2591,0)</f>
        <v>0</v>
      </c>
      <c t="str" r="S2591">
        <f>CONCATENATE(F2591,E2591)</f>
        <v>NON FTLNON FTL</v>
      </c>
    </row>
    <row r="2592">
      <c t="s" s="7" r="A2592">
        <v>201</v>
      </c>
      <c s="7" r="B2592">
        <v>2619</v>
      </c>
      <c s="30" r="C2592">
        <v>19</v>
      </c>
      <c t="s" s="30" r="D2592">
        <v>113</v>
      </c>
      <c t="s" s="30" r="E2592">
        <v>4</v>
      </c>
      <c t="s" s="30" r="F2592">
        <v>4</v>
      </c>
      <c t="s" s="30" r="G2592">
        <v>294</v>
      </c>
      <c t="str" s="12" r="H2592">
        <f>HYPERLINK("http://sofifa.com/en/fifa13winter/player/147757-leonardo-bonucci","L. Bonucci")</f>
        <v>L. Bonucci</v>
      </c>
      <c s="30" r="I2592">
        <v>81</v>
      </c>
      <c t="s" s="30" r="J2592">
        <v>113</v>
      </c>
      <c t="s" s="30" r="K2592">
        <v>152</v>
      </c>
      <c t="s" s="30" r="L2592">
        <v>193</v>
      </c>
      <c s="30" r="M2592">
        <v>25</v>
      </c>
      <c s="26" r="N2592">
        <v>11.5</v>
      </c>
      <c s="23" r="O2592">
        <v>0.04</v>
      </c>
      <c s="7" r="P2592"/>
      <c s="7" r="Q2592"/>
      <c s="7" r="R2592">
        <f>IF((P2592&gt;0),O2592,0)</f>
        <v>0</v>
      </c>
      <c t="str" r="S2592">
        <f>CONCATENATE(F2592,E2592)</f>
        <v>NON FTLNON FTL</v>
      </c>
    </row>
    <row r="2593">
      <c t="s" s="7" r="A2593">
        <v>201</v>
      </c>
      <c s="7" r="B2593">
        <v>2620</v>
      </c>
      <c s="30" r="C2593">
        <v>3</v>
      </c>
      <c t="s" s="30" r="D2593">
        <v>116</v>
      </c>
      <c t="s" s="30" r="E2593">
        <v>4</v>
      </c>
      <c t="s" s="30" r="F2593">
        <v>4</v>
      </c>
      <c t="s" s="30" r="G2593">
        <v>294</v>
      </c>
      <c t="str" s="12" r="H2593">
        <f>HYPERLINK("http://sofifa.com/en/fifa13winter/player/146767-giorgio-chiellini","G. Chiellini")</f>
        <v>G. Chiellini</v>
      </c>
      <c s="30" r="I2593">
        <v>85</v>
      </c>
      <c t="s" s="30" r="J2593">
        <v>113</v>
      </c>
      <c t="s" s="30" r="K2593">
        <v>173</v>
      </c>
      <c t="s" s="30" r="L2593">
        <v>137</v>
      </c>
      <c s="30" r="M2593">
        <v>28</v>
      </c>
      <c s="26" r="N2593">
        <v>20.5</v>
      </c>
      <c s="23" r="O2593">
        <v>0.104</v>
      </c>
      <c s="7" r="P2593"/>
      <c s="7" r="Q2593"/>
      <c s="7" r="R2593">
        <f>IF((P2593&gt;0),O2593,0)</f>
        <v>0</v>
      </c>
      <c t="str" r="S2593">
        <f>CONCATENATE(F2593,E2593)</f>
        <v>NON FTLNON FTL</v>
      </c>
    </row>
    <row r="2594">
      <c t="s" s="7" r="A2594">
        <v>201</v>
      </c>
      <c s="7" r="B2594">
        <v>2621</v>
      </c>
      <c s="30" r="C2594">
        <v>21</v>
      </c>
      <c t="s" s="30" r="D2594">
        <v>154</v>
      </c>
      <c t="s" s="30" r="E2594">
        <v>4</v>
      </c>
      <c t="s" s="30" r="F2594">
        <v>4</v>
      </c>
      <c t="s" s="30" r="G2594">
        <v>294</v>
      </c>
      <c t="str" s="12" r="H2594">
        <f>HYPERLINK("http://sofifa.com/en/fifa13winter/player/144853-andrea-pirlo","A. Pirlo")</f>
        <v>A. Pirlo</v>
      </c>
      <c s="30" r="I2594">
        <v>87</v>
      </c>
      <c t="s" s="30" r="J2594">
        <v>124</v>
      </c>
      <c t="s" s="30" r="K2594">
        <v>159</v>
      </c>
      <c t="s" s="30" r="L2594">
        <v>115</v>
      </c>
      <c s="30" r="M2594">
        <v>33</v>
      </c>
      <c s="26" r="N2594">
        <v>22.8</v>
      </c>
      <c s="23" r="O2594">
        <v>0.211</v>
      </c>
      <c s="7" r="P2594"/>
      <c s="7" r="Q2594"/>
      <c s="7" r="R2594">
        <f>IF((P2594&gt;0),O2594,0)</f>
        <v>0</v>
      </c>
      <c t="str" r="S2594">
        <f>CONCATENATE(F2594,E2594)</f>
        <v>NON FTLNON FTL</v>
      </c>
    </row>
    <row r="2595">
      <c t="s" s="7" r="A2595">
        <v>201</v>
      </c>
      <c s="7" r="B2595">
        <v>2622</v>
      </c>
      <c s="30" r="C2595">
        <v>26</v>
      </c>
      <c t="s" s="30" r="D2595">
        <v>120</v>
      </c>
      <c t="s" s="30" r="E2595">
        <v>4</v>
      </c>
      <c t="s" s="30" r="F2595">
        <v>4</v>
      </c>
      <c t="s" s="30" r="G2595">
        <v>294</v>
      </c>
      <c t="str" s="12" r="H2595">
        <f>HYPERLINK("http://sofifa.com/en/fifa13winter/player/146556-stephan-lichtsteiner","S. Lichtsteiner")</f>
        <v>S. Lichtsteiner</v>
      </c>
      <c s="30" r="I2595">
        <v>81</v>
      </c>
      <c t="s" s="30" r="J2595">
        <v>120</v>
      </c>
      <c t="s" s="30" r="K2595">
        <v>110</v>
      </c>
      <c t="s" s="30" r="L2595">
        <v>138</v>
      </c>
      <c s="30" r="M2595">
        <v>28</v>
      </c>
      <c s="26" r="N2595">
        <v>11.4</v>
      </c>
      <c s="23" r="O2595">
        <v>0.042</v>
      </c>
      <c s="7" r="P2595"/>
      <c s="7" r="Q2595"/>
      <c s="7" r="R2595">
        <f>IF((P2595&gt;0),O2595,0)</f>
        <v>0</v>
      </c>
      <c t="str" r="S2595">
        <f>CONCATENATE(F2595,E2595)</f>
        <v>NON FTLNON FTL</v>
      </c>
    </row>
    <row r="2596">
      <c t="s" s="7" r="A2596">
        <v>201</v>
      </c>
      <c s="7" r="B2596">
        <v>2623</v>
      </c>
      <c s="30" r="C2596">
        <v>23</v>
      </c>
      <c t="s" s="30" r="D2596">
        <v>123</v>
      </c>
      <c t="s" s="30" r="E2596">
        <v>4</v>
      </c>
      <c t="s" s="30" r="F2596">
        <v>4</v>
      </c>
      <c t="s" s="30" r="G2596">
        <v>294</v>
      </c>
      <c t="str" s="12" r="H2596">
        <f>HYPERLINK("http://sofifa.com/en/fifa13winter/player/147778-arturo-vidal","A. Vidal")</f>
        <v>A. Vidal</v>
      </c>
      <c s="30" r="I2596">
        <v>85</v>
      </c>
      <c t="s" s="30" r="J2596">
        <v>124</v>
      </c>
      <c t="s" s="30" r="K2596">
        <v>150</v>
      </c>
      <c t="s" s="30" r="L2596">
        <v>151</v>
      </c>
      <c s="30" r="M2596">
        <v>25</v>
      </c>
      <c s="26" r="N2596">
        <v>23.2</v>
      </c>
      <c s="23" r="O2596">
        <v>0.1</v>
      </c>
      <c s="7" r="P2596"/>
      <c s="7" r="Q2596"/>
      <c s="7" r="R2596">
        <f>IF((P2596&gt;0),O2596,0)</f>
        <v>0</v>
      </c>
      <c t="str" r="S2596">
        <f>CONCATENATE(F2596,E2596)</f>
        <v>NON FTLNON FTL</v>
      </c>
    </row>
    <row r="2597">
      <c t="s" s="7" r="A2597">
        <v>201</v>
      </c>
      <c s="7" r="B2597">
        <v>2624</v>
      </c>
      <c s="30" r="C2597">
        <v>8</v>
      </c>
      <c t="s" s="30" r="D2597">
        <v>126</v>
      </c>
      <c t="s" s="30" r="E2597">
        <v>4</v>
      </c>
      <c t="s" s="30" r="F2597">
        <v>4</v>
      </c>
      <c t="s" s="30" r="G2597">
        <v>294</v>
      </c>
      <c t="str" s="12" r="H2597">
        <f>HYPERLINK("http://sofifa.com/en/fifa13winter/player/147290-claudio-marchisio","C. Marchisio")</f>
        <v>C. Marchisio</v>
      </c>
      <c s="30" r="I2597">
        <v>85</v>
      </c>
      <c t="s" s="30" r="J2597">
        <v>124</v>
      </c>
      <c t="s" s="30" r="K2597">
        <v>145</v>
      </c>
      <c t="s" s="30" r="L2597">
        <v>137</v>
      </c>
      <c s="30" r="M2597">
        <v>26</v>
      </c>
      <c s="26" r="N2597">
        <v>20.3</v>
      </c>
      <c s="23" r="O2597">
        <v>0.1</v>
      </c>
      <c s="7" r="P2597"/>
      <c s="7" r="Q2597"/>
      <c s="7" r="R2597">
        <f>IF((P2597&gt;0),O2597,0)</f>
        <v>0</v>
      </c>
      <c t="str" r="S2597">
        <f>CONCATENATE(F2597,E2597)</f>
        <v>NON FTLNON FTL</v>
      </c>
    </row>
    <row r="2598">
      <c t="s" s="7" r="A2598">
        <v>201</v>
      </c>
      <c s="7" r="B2598">
        <v>2625</v>
      </c>
      <c s="30" r="C2598">
        <v>22</v>
      </c>
      <c t="s" s="30" r="D2598">
        <v>128</v>
      </c>
      <c t="s" s="30" r="E2598">
        <v>4</v>
      </c>
      <c t="s" s="30" r="F2598">
        <v>4</v>
      </c>
      <c t="s" s="30" r="G2598">
        <v>294</v>
      </c>
      <c t="str" s="12" r="H2598">
        <f>HYPERLINK("http://sofifa.com/en/fifa13winter/player/148345-kwadwo-asamoah","K. Asamoah")</f>
        <v>K. Asamoah</v>
      </c>
      <c s="30" r="I2598">
        <v>80</v>
      </c>
      <c t="s" s="30" r="J2598">
        <v>128</v>
      </c>
      <c t="s" s="30" r="K2598">
        <v>118</v>
      </c>
      <c t="s" s="30" r="L2598">
        <v>137</v>
      </c>
      <c s="30" r="M2598">
        <v>23</v>
      </c>
      <c s="26" r="N2598">
        <v>11.3</v>
      </c>
      <c s="23" r="O2598">
        <v>0.029</v>
      </c>
      <c s="7" r="P2598"/>
      <c s="7" r="Q2598"/>
      <c s="7" r="R2598">
        <f>IF((P2598&gt;0),O2598,0)</f>
        <v>0</v>
      </c>
      <c t="str" r="S2598">
        <f>CONCATENATE(F2598,E2598)</f>
        <v>NON FTLNON FTL</v>
      </c>
    </row>
    <row r="2599">
      <c t="s" s="7" r="A2599">
        <v>201</v>
      </c>
      <c s="7" r="B2599">
        <v>2626</v>
      </c>
      <c s="30" r="C2599">
        <v>27</v>
      </c>
      <c t="s" s="30" r="D2599">
        <v>131</v>
      </c>
      <c t="s" s="30" r="E2599">
        <v>4</v>
      </c>
      <c t="s" s="30" r="F2599">
        <v>4</v>
      </c>
      <c t="s" s="30" r="G2599">
        <v>294</v>
      </c>
      <c t="str" s="12" r="H2599">
        <f>HYPERLINK("http://sofifa.com/en/fifa13winter/player/146206-fabio-quagliarella","F. Quagliarella")</f>
        <v>F. Quagliarella</v>
      </c>
      <c s="30" r="I2599">
        <v>82</v>
      </c>
      <c t="s" s="30" r="J2599">
        <v>129</v>
      </c>
      <c t="s" s="30" r="K2599">
        <v>114</v>
      </c>
      <c t="s" s="30" r="L2599">
        <v>158</v>
      </c>
      <c s="30" r="M2599">
        <v>29</v>
      </c>
      <c s="26" r="N2599">
        <v>15.5</v>
      </c>
      <c s="23" r="O2599">
        <v>0.057</v>
      </c>
      <c s="7" r="P2599"/>
      <c s="7" r="Q2599"/>
      <c s="7" r="R2599">
        <f>IF((P2599&gt;0),O2599,0)</f>
        <v>0</v>
      </c>
      <c t="str" r="S2599">
        <f>CONCATENATE(F2599,E2599)</f>
        <v>NON FTLNON FTL</v>
      </c>
    </row>
    <row r="2600">
      <c t="s" s="7" r="A2600">
        <v>201</v>
      </c>
      <c s="7" r="B2600">
        <v>2627</v>
      </c>
      <c s="30" r="C2600">
        <v>9</v>
      </c>
      <c t="s" s="30" r="D2600">
        <v>133</v>
      </c>
      <c t="s" s="30" r="E2600">
        <v>4</v>
      </c>
      <c t="s" s="30" r="F2600">
        <v>4</v>
      </c>
      <c t="s" s="30" r="G2600">
        <v>294</v>
      </c>
      <c t="str" s="12" r="H2600">
        <f>HYPERLINK("http://sofifa.com/en/fifa13winter/player/146449-mirko-vucinic","M. Vučinić")</f>
        <v>M. Vučinić</v>
      </c>
      <c s="30" r="I2600">
        <v>83</v>
      </c>
      <c t="s" s="30" r="J2600">
        <v>129</v>
      </c>
      <c t="s" s="30" r="K2600">
        <v>173</v>
      </c>
      <c t="s" s="30" r="L2600">
        <v>137</v>
      </c>
      <c s="30" r="M2600">
        <v>28</v>
      </c>
      <c s="26" r="N2600">
        <v>17.5</v>
      </c>
      <c s="23" r="O2600">
        <v>0.071</v>
      </c>
      <c s="7" r="P2600"/>
      <c s="7" r="Q2600"/>
      <c s="7" r="R2600">
        <f>IF((P2600&gt;0),O2600,0)</f>
        <v>0</v>
      </c>
      <c t="str" r="S2600">
        <f>CONCATENATE(F2600,E2600)</f>
        <v>NON FTLNON FTL</v>
      </c>
    </row>
    <row r="2601">
      <c t="s" s="7" r="A2601">
        <v>201</v>
      </c>
      <c s="7" r="B2601">
        <v>2628</v>
      </c>
      <c s="30" r="C2601">
        <v>20</v>
      </c>
      <c t="s" s="30" r="D2601">
        <v>136</v>
      </c>
      <c t="s" s="30" r="E2601">
        <v>4</v>
      </c>
      <c t="s" s="30" r="F2601">
        <v>4</v>
      </c>
      <c t="s" s="30" r="G2601">
        <v>294</v>
      </c>
      <c t="str" s="12" r="H2601">
        <f>HYPERLINK("http://sofifa.com/en/fifa13winter/player/146618-simone-padoin","S. Padoin")</f>
        <v>S. Padoin</v>
      </c>
      <c s="30" r="I2601">
        <v>76</v>
      </c>
      <c t="s" s="30" r="J2601">
        <v>120</v>
      </c>
      <c t="s" s="30" r="K2601">
        <v>145</v>
      </c>
      <c t="s" s="30" r="L2601">
        <v>160</v>
      </c>
      <c s="30" r="M2601">
        <v>28</v>
      </c>
      <c s="26" r="N2601">
        <v>4.8</v>
      </c>
      <c s="23" r="O2601">
        <v>0.015</v>
      </c>
      <c s="7" r="P2601"/>
      <c s="7" r="Q2601"/>
      <c s="7" r="R2601">
        <f>IF((P2601&gt;0),O2601,0)</f>
        <v>0</v>
      </c>
      <c t="str" r="S2601">
        <f>CONCATENATE(F2601,E2601)</f>
        <v>NON FTLNON FTL</v>
      </c>
    </row>
    <row r="2602">
      <c t="s" s="7" r="A2602">
        <v>201</v>
      </c>
      <c s="7" r="B2602">
        <v>2629</v>
      </c>
      <c s="30" r="C2602">
        <v>12</v>
      </c>
      <c t="s" s="30" r="D2602">
        <v>136</v>
      </c>
      <c t="s" s="30" r="E2602">
        <v>4</v>
      </c>
      <c t="s" s="30" r="F2602">
        <v>4</v>
      </c>
      <c t="s" s="30" r="G2602">
        <v>294</v>
      </c>
      <c t="str" s="12" r="H2602">
        <f>HYPERLINK("http://sofifa.com/en/fifa13winter/player/147662-sebastian-giovinco","S. Giovinco")</f>
        <v>S. Giovinco</v>
      </c>
      <c s="30" r="I2602">
        <v>80</v>
      </c>
      <c t="s" s="30" r="J2602">
        <v>171</v>
      </c>
      <c t="s" s="30" r="K2602">
        <v>226</v>
      </c>
      <c t="s" s="30" r="L2602">
        <v>164</v>
      </c>
      <c s="30" r="M2602">
        <v>25</v>
      </c>
      <c s="26" r="N2602">
        <v>15.1</v>
      </c>
      <c s="23" r="O2602">
        <v>0.03</v>
      </c>
      <c s="7" r="P2602"/>
      <c s="7" r="Q2602"/>
      <c s="7" r="R2602">
        <f>IF((P2602&gt;0),O2602,0)</f>
        <v>0</v>
      </c>
      <c t="str" r="S2602">
        <f>CONCATENATE(F2602,E2602)</f>
        <v>NON FTLNON FTL</v>
      </c>
    </row>
    <row r="2603">
      <c t="s" s="7" r="A2603">
        <v>201</v>
      </c>
      <c s="7" r="B2603">
        <v>2630</v>
      </c>
      <c s="30" r="C2603">
        <v>18</v>
      </c>
      <c t="s" s="30" r="D2603">
        <v>136</v>
      </c>
      <c t="s" s="30" r="E2603">
        <v>4</v>
      </c>
      <c t="s" s="30" r="F2603">
        <v>4</v>
      </c>
      <c t="s" s="30" r="G2603">
        <v>294</v>
      </c>
      <c t="str" s="12" r="H2603">
        <f>HYPERLINK("http://sofifa.com/en/fifa13winter/player/144787-nicolas-anelka","N. Anelka")</f>
        <v>N. Anelka</v>
      </c>
      <c s="30" r="I2603">
        <v>81</v>
      </c>
      <c t="s" s="30" r="J2603">
        <v>129</v>
      </c>
      <c t="s" s="30" r="K2603">
        <v>173</v>
      </c>
      <c t="s" s="30" r="L2603">
        <v>153</v>
      </c>
      <c s="30" r="M2603">
        <v>33</v>
      </c>
      <c s="26" r="N2603">
        <v>9.7</v>
      </c>
      <c s="23" r="O2603">
        <v>0.05</v>
      </c>
      <c s="7" r="P2603"/>
      <c s="7" r="Q2603"/>
      <c s="7" r="R2603">
        <f>IF((P2603&gt;0),O2603,0)</f>
        <v>0</v>
      </c>
      <c t="str" r="S2603">
        <f>CONCATENATE(F2603,E2603)</f>
        <v>NON FTLNON FTL</v>
      </c>
    </row>
    <row r="2604">
      <c t="s" s="7" r="A2604">
        <v>201</v>
      </c>
      <c s="7" r="B2604">
        <v>2631</v>
      </c>
      <c s="30" r="C2604">
        <v>4</v>
      </c>
      <c t="s" s="30" r="D2604">
        <v>136</v>
      </c>
      <c t="s" s="30" r="E2604">
        <v>4</v>
      </c>
      <c t="s" s="30" r="F2604">
        <v>4</v>
      </c>
      <c t="s" s="30" r="G2604">
        <v>294</v>
      </c>
      <c t="str" s="12" r="H2604">
        <f>HYPERLINK("http://sofifa.com/en/fifa13winter/player/147733-martin-caceres","M. Cáceres")</f>
        <v>M. Cáceres</v>
      </c>
      <c s="30" r="I2604">
        <v>81</v>
      </c>
      <c t="s" s="30" r="J2604">
        <v>113</v>
      </c>
      <c t="s" s="30" r="K2604">
        <v>110</v>
      </c>
      <c t="s" s="30" r="L2604">
        <v>137</v>
      </c>
      <c s="30" r="M2604">
        <v>25</v>
      </c>
      <c s="26" r="N2604">
        <v>12.3</v>
      </c>
      <c s="23" r="O2604">
        <v>0.04</v>
      </c>
      <c s="7" r="P2604"/>
      <c s="7" r="Q2604"/>
      <c s="7" r="R2604">
        <f>IF((P2604&gt;0),O2604,0)</f>
        <v>0</v>
      </c>
      <c t="str" r="S2604">
        <f>CONCATENATE(F2604,E2604)</f>
        <v>NON FTLNON FTL</v>
      </c>
    </row>
    <row r="2605">
      <c t="s" s="7" r="A2605">
        <v>201</v>
      </c>
      <c s="7" r="B2605">
        <v>2632</v>
      </c>
      <c s="30" r="C2605">
        <v>24</v>
      </c>
      <c t="s" s="30" r="D2605">
        <v>136</v>
      </c>
      <c t="s" s="30" r="E2605">
        <v>4</v>
      </c>
      <c t="s" s="30" r="F2605">
        <v>4</v>
      </c>
      <c t="s" s="30" r="G2605">
        <v>294</v>
      </c>
      <c t="str" s="12" r="H2605">
        <f>HYPERLINK("http://sofifa.com/en/fifa13winter/player/147031-emanuele-giaccherini","E. Giaccherini")</f>
        <v>E. Giaccherini</v>
      </c>
      <c s="30" r="I2605">
        <v>77</v>
      </c>
      <c t="s" s="30" r="J2605">
        <v>124</v>
      </c>
      <c t="s" s="30" r="K2605">
        <v>231</v>
      </c>
      <c t="s" s="30" r="L2605">
        <v>127</v>
      </c>
      <c s="30" r="M2605">
        <v>27</v>
      </c>
      <c s="26" r="N2605">
        <v>5.7</v>
      </c>
      <c s="23" r="O2605">
        <v>0.017</v>
      </c>
      <c s="7" r="P2605"/>
      <c s="7" r="Q2605"/>
      <c s="7" r="R2605">
        <f>IF((P2605&gt;0),O2605,0)</f>
        <v>0</v>
      </c>
      <c t="str" r="S2605">
        <f>CONCATENATE(F2605,E2605)</f>
        <v>NON FTLNON FTL</v>
      </c>
    </row>
    <row r="2606">
      <c t="s" s="7" r="A2606">
        <v>201</v>
      </c>
      <c s="7" r="B2606">
        <v>2633</v>
      </c>
      <c s="30" r="C2606">
        <v>13</v>
      </c>
      <c t="s" s="30" r="D2606">
        <v>136</v>
      </c>
      <c t="s" s="30" r="E2606">
        <v>4</v>
      </c>
      <c t="s" s="30" r="F2606">
        <v>4</v>
      </c>
      <c t="s" s="30" r="G2606">
        <v>294</v>
      </c>
      <c t="str" s="12" r="H2606">
        <f>HYPERLINK("http://sofifa.com/en/fifa13winter/player/146560-federico-peluso","F. Peluso")</f>
        <v>F. Peluso</v>
      </c>
      <c s="30" r="I2606">
        <v>77</v>
      </c>
      <c t="s" s="30" r="J2606">
        <v>117</v>
      </c>
      <c t="s" s="30" r="K2606">
        <v>134</v>
      </c>
      <c t="s" s="30" r="L2606">
        <v>183</v>
      </c>
      <c s="30" r="M2606">
        <v>28</v>
      </c>
      <c s="26" r="N2606">
        <v>5</v>
      </c>
      <c s="23" r="O2606">
        <v>0.017</v>
      </c>
      <c s="7" r="P2606"/>
      <c s="7" r="Q2606"/>
      <c s="7" r="R2606">
        <f>IF((P2606&gt;0),O2606,0)</f>
        <v>0</v>
      </c>
      <c t="str" r="S2606">
        <f>CONCATENATE(F2606,E2606)</f>
        <v>NON FTLNON FTL</v>
      </c>
    </row>
    <row r="2607">
      <c t="s" s="7" r="A2607">
        <v>201</v>
      </c>
      <c s="7" r="B2607">
        <v>2634</v>
      </c>
      <c s="30" r="C2607">
        <v>32</v>
      </c>
      <c t="s" s="30" r="D2607">
        <v>136</v>
      </c>
      <c t="s" s="30" r="E2607">
        <v>4</v>
      </c>
      <c t="s" s="30" r="F2607">
        <v>4</v>
      </c>
      <c t="s" s="30" r="G2607">
        <v>294</v>
      </c>
      <c t="str" s="12" r="H2607">
        <f>HYPERLINK("http://sofifa.com/en/fifa13winter/player/146772-alessandro-matri","A. Matri")</f>
        <v>A. Matri</v>
      </c>
      <c s="30" r="I2607">
        <v>78</v>
      </c>
      <c t="s" s="30" r="J2607">
        <v>129</v>
      </c>
      <c t="s" s="30" r="K2607">
        <v>110</v>
      </c>
      <c t="s" s="30" r="L2607">
        <v>153</v>
      </c>
      <c s="30" r="M2607">
        <v>28</v>
      </c>
      <c s="26" r="N2607">
        <v>7.3</v>
      </c>
      <c s="23" r="O2607">
        <v>0.02</v>
      </c>
      <c s="7" r="P2607"/>
      <c s="7" r="Q2607"/>
      <c s="7" r="R2607">
        <f>IF((P2607&gt;0),O2607,0)</f>
        <v>0</v>
      </c>
      <c t="str" r="S2607">
        <f>CONCATENATE(F2607,E2607)</f>
        <v>NON FTLNON FTL</v>
      </c>
    </row>
    <row r="2608">
      <c t="s" s="7" r="A2608">
        <v>201</v>
      </c>
      <c s="7" r="B2608">
        <v>2635</v>
      </c>
      <c s="30" r="C2608">
        <v>11</v>
      </c>
      <c t="s" s="30" r="D2608">
        <v>136</v>
      </c>
      <c t="s" s="30" r="E2608">
        <v>4</v>
      </c>
      <c t="s" s="30" r="F2608">
        <v>4</v>
      </c>
      <c t="s" s="30" r="G2608">
        <v>294</v>
      </c>
      <c t="str" s="12" r="H2608">
        <f>HYPERLINK("http://sofifa.com/en/fifa13winter/player/147531-paolo-de-ceglie","P. De Ceglie")</f>
        <v>P. De Ceglie</v>
      </c>
      <c s="30" r="I2608">
        <v>72</v>
      </c>
      <c t="s" s="30" r="J2608">
        <v>128</v>
      </c>
      <c t="s" s="30" r="K2608">
        <v>167</v>
      </c>
      <c t="s" s="30" r="L2608">
        <v>151</v>
      </c>
      <c s="30" r="M2608">
        <v>25</v>
      </c>
      <c s="26" r="N2608">
        <v>2.7</v>
      </c>
      <c s="23" r="O2608">
        <v>0.009</v>
      </c>
      <c s="7" r="P2608"/>
      <c s="7" r="Q2608"/>
      <c s="7" r="R2608">
        <f>IF((P2608&gt;0),O2608,0)</f>
        <v>0</v>
      </c>
      <c t="str" r="S2608">
        <f>CONCATENATE(F2608,E2608)</f>
        <v>NON FTLNON FTL</v>
      </c>
    </row>
    <row r="2609">
      <c t="s" s="7" r="A2609">
        <v>201</v>
      </c>
      <c s="7" r="B2609">
        <v>2636</v>
      </c>
      <c s="30" r="C2609">
        <v>39</v>
      </c>
      <c t="s" s="30" r="D2609">
        <v>136</v>
      </c>
      <c t="s" s="30" r="E2609">
        <v>4</v>
      </c>
      <c t="s" s="30" r="F2609">
        <v>4</v>
      </c>
      <c t="s" s="30" r="G2609">
        <v>294</v>
      </c>
      <c t="str" s="12" r="H2609">
        <f>HYPERLINK("http://sofifa.com/en/fifa13winter/player/148819-luca-marrone","L. Marrone")</f>
        <v>L. Marrone</v>
      </c>
      <c s="30" r="I2609">
        <v>72</v>
      </c>
      <c t="s" s="30" r="J2609">
        <v>154</v>
      </c>
      <c t="s" s="30" r="K2609">
        <v>173</v>
      </c>
      <c t="s" s="30" r="L2609">
        <v>151</v>
      </c>
      <c s="30" r="M2609">
        <v>22</v>
      </c>
      <c s="26" r="N2609">
        <v>2.6</v>
      </c>
      <c s="23" r="O2609">
        <v>0.008</v>
      </c>
      <c s="7" r="P2609"/>
      <c s="7" r="Q2609"/>
      <c s="7" r="R2609">
        <f>IF((P2609&gt;0),O2609,0)</f>
        <v>0</v>
      </c>
      <c t="str" r="S2609">
        <f>CONCATENATE(F2609,E2609)</f>
        <v>NON FTLNON FTL</v>
      </c>
    </row>
    <row r="2610">
      <c t="s" s="7" r="A2610">
        <v>201</v>
      </c>
      <c s="7" r="B2610">
        <v>2637</v>
      </c>
      <c s="30" r="C2610">
        <v>6</v>
      </c>
      <c t="s" s="30" r="D2610">
        <v>136</v>
      </c>
      <c t="s" s="30" r="E2610">
        <v>4</v>
      </c>
      <c t="s" s="30" r="F2610">
        <v>4</v>
      </c>
      <c t="s" s="30" r="G2610">
        <v>294</v>
      </c>
      <c t="str" s="12" r="H2610">
        <f>HYPERLINK("http://sofifa.com/en/fifa13winter/player/149902-paul-pogba","P. Pogba")</f>
        <v>P. Pogba</v>
      </c>
      <c s="30" r="I2610">
        <v>79</v>
      </c>
      <c t="s" s="30" r="J2610">
        <v>154</v>
      </c>
      <c t="s" s="30" r="K2610">
        <v>134</v>
      </c>
      <c t="s" s="30" r="L2610">
        <v>153</v>
      </c>
      <c s="30" r="M2610">
        <v>19</v>
      </c>
      <c s="26" r="N2610">
        <v>8.3</v>
      </c>
      <c s="23" r="O2610">
        <v>0.018</v>
      </c>
      <c s="7" r="P2610"/>
      <c s="7" r="Q2610"/>
      <c s="7" r="R2610">
        <f>IF((P2610&gt;0),O2610,0)</f>
        <v>0</v>
      </c>
      <c t="str" r="S2610">
        <f>CONCATENATE(F2610,E2610)</f>
        <v>NON FTLNON FTL</v>
      </c>
    </row>
    <row r="2611">
      <c t="s" s="7" r="A2611">
        <v>201</v>
      </c>
      <c s="7" r="B2611">
        <v>2638</v>
      </c>
      <c s="30" r="C2611">
        <v>30</v>
      </c>
      <c t="s" s="30" r="D2611">
        <v>136</v>
      </c>
      <c t="s" s="30" r="E2611">
        <v>4</v>
      </c>
      <c t="s" s="30" r="F2611">
        <v>4</v>
      </c>
      <c t="s" s="30" r="G2611">
        <v>294</v>
      </c>
      <c t="str" s="12" r="H2611">
        <f>HYPERLINK("http://sofifa.com/en/fifa13winter/player/143991-marco-storari","M. Storari")</f>
        <v>M. Storari</v>
      </c>
      <c s="30" r="I2611">
        <v>77</v>
      </c>
      <c t="s" s="30" r="J2611">
        <v>106</v>
      </c>
      <c t="s" s="30" r="K2611">
        <v>155</v>
      </c>
      <c t="s" s="30" r="L2611">
        <v>137</v>
      </c>
      <c s="30" r="M2611">
        <v>35</v>
      </c>
      <c s="26" r="N2611">
        <v>2.8</v>
      </c>
      <c s="23" r="O2611">
        <v>0.021</v>
      </c>
      <c s="7" r="P2611"/>
      <c s="7" r="Q2611"/>
      <c s="7" r="R2611">
        <f>IF((P2611&gt;0),O2611,0)</f>
        <v>0</v>
      </c>
      <c t="str" r="S2611">
        <f>CONCATENATE(F2611,E2611)</f>
        <v>NON FTLNON FTL</v>
      </c>
    </row>
    <row r="2612">
      <c t="s" s="7" r="A2612">
        <v>201</v>
      </c>
      <c s="7" r="B2612">
        <v>2639</v>
      </c>
      <c s="30" r="C2612">
        <v>33</v>
      </c>
      <c t="s" s="30" r="D2612">
        <v>136</v>
      </c>
      <c t="s" s="30" r="E2612">
        <v>4</v>
      </c>
      <c t="s" s="30" r="F2612">
        <v>4</v>
      </c>
      <c t="s" s="30" r="G2612">
        <v>294</v>
      </c>
      <c t="str" s="12" r="H2612">
        <f>HYPERLINK("http://sofifa.com/en/fifa13winter/player/148165-mauricio-isla","M. Isla")</f>
        <v>M. Isla</v>
      </c>
      <c s="30" r="I2612">
        <v>79</v>
      </c>
      <c t="s" s="30" r="J2612">
        <v>120</v>
      </c>
      <c t="s" s="30" r="K2612">
        <v>172</v>
      </c>
      <c t="s" s="30" r="L2612">
        <v>151</v>
      </c>
      <c s="30" r="M2612">
        <v>24</v>
      </c>
      <c s="26" r="N2612">
        <v>8.3</v>
      </c>
      <c s="23" r="O2612">
        <v>0.022</v>
      </c>
      <c s="7" r="P2612"/>
      <c s="7" r="Q2612"/>
      <c s="7" r="R2612">
        <f>IF((P2612&gt;0),O2612,0)</f>
        <v>0</v>
      </c>
      <c t="str" r="S2612">
        <f>CONCATENATE(F2612,E2612)</f>
        <v>NON FTLNON FTL</v>
      </c>
    </row>
    <row r="2613">
      <c t="s" s="7" r="A2613">
        <v>201</v>
      </c>
      <c s="7" r="B2613">
        <v>2640</v>
      </c>
      <c s="30" r="C2613">
        <v>34</v>
      </c>
      <c t="s" s="30" r="D2613">
        <v>147</v>
      </c>
      <c t="s" s="30" r="E2613">
        <v>4</v>
      </c>
      <c t="s" s="30" r="F2613">
        <v>4</v>
      </c>
      <c t="s" s="30" r="G2613">
        <v>294</v>
      </c>
      <c t="str" s="12" r="H2613">
        <f>HYPERLINK("http://sofifa.com/en/fifa13winter/player/146026-rubens-fernando-moedim","Rubinho")</f>
        <v>Rubinho</v>
      </c>
      <c s="30" r="I2613">
        <v>72</v>
      </c>
      <c t="s" s="30" r="J2613">
        <v>106</v>
      </c>
      <c t="s" s="30" r="K2613">
        <v>173</v>
      </c>
      <c t="s" s="30" r="L2613">
        <v>179</v>
      </c>
      <c s="30" r="M2613">
        <v>30</v>
      </c>
      <c s="26" r="N2613">
        <v>1.8</v>
      </c>
      <c s="23" r="O2613">
        <v>0.01</v>
      </c>
      <c s="7" r="P2613"/>
      <c s="7" r="Q2613"/>
      <c s="7" r="R2613">
        <f>IF((P2613&gt;0),O2613,0)</f>
        <v>0</v>
      </c>
      <c t="str" r="S2613">
        <f>CONCATENATE(F2613,E2613)</f>
        <v>NON FTLNON FTL</v>
      </c>
    </row>
    <row r="2614">
      <c t="s" s="7" r="A2614">
        <v>201</v>
      </c>
      <c s="7" r="B2614">
        <v>2641</v>
      </c>
      <c s="30" r="C2614">
        <v>7</v>
      </c>
      <c t="s" s="30" r="D2614">
        <v>147</v>
      </c>
      <c t="s" s="30" r="E2614">
        <v>4</v>
      </c>
      <c t="s" s="30" r="F2614">
        <v>4</v>
      </c>
      <c t="s" s="30" r="G2614">
        <v>294</v>
      </c>
      <c t="str" s="12" r="H2614">
        <f>HYPERLINK("http://sofifa.com/en/fifa13winter/player/146417-simone-pepe","S. Pepe")</f>
        <v>S. Pepe</v>
      </c>
      <c s="30" r="I2614">
        <v>78</v>
      </c>
      <c t="s" s="30" r="J2614">
        <v>120</v>
      </c>
      <c t="s" s="30" r="K2614">
        <v>118</v>
      </c>
      <c t="s" s="30" r="L2614">
        <v>119</v>
      </c>
      <c s="30" r="M2614">
        <v>29</v>
      </c>
      <c s="26" r="N2614">
        <v>6</v>
      </c>
      <c s="23" r="O2614">
        <v>0.02</v>
      </c>
      <c s="7" r="P2614"/>
      <c s="7" r="Q2614"/>
      <c s="7" r="R2614">
        <f>IF((P2614&gt;0),O2614,0)</f>
        <v>0</v>
      </c>
      <c t="str" r="S2614">
        <f>CONCATENATE(F2614,E2614)</f>
        <v>NON FTLNON FTL</v>
      </c>
    </row>
    <row r="2615">
      <c t="s" s="7" r="A2615">
        <v>201</v>
      </c>
      <c s="7" r="B2615">
        <v>2642</v>
      </c>
      <c s="30" r="C2615">
        <v>17</v>
      </c>
      <c t="s" s="30" r="D2615">
        <v>147</v>
      </c>
      <c t="s" s="30" r="E2615">
        <v>4</v>
      </c>
      <c t="s" s="30" r="F2615">
        <v>4</v>
      </c>
      <c t="s" s="30" r="G2615">
        <v>294</v>
      </c>
      <c t="str" s="12" r="H2615">
        <f>HYPERLINK("http://sofifa.com/en/fifa13winter/player/148017-nicklas-bendtner","N. Bendtner")</f>
        <v>N. Bendtner</v>
      </c>
      <c s="30" r="I2615">
        <v>76</v>
      </c>
      <c t="s" s="30" r="J2615">
        <v>129</v>
      </c>
      <c t="s" s="30" r="K2615">
        <v>188</v>
      </c>
      <c t="s" s="30" r="L2615">
        <v>177</v>
      </c>
      <c s="30" r="M2615">
        <v>24</v>
      </c>
      <c s="26" r="N2615">
        <v>6</v>
      </c>
      <c s="23" r="O2615">
        <v>0.015</v>
      </c>
      <c s="7" r="P2615"/>
      <c s="7" r="Q2615"/>
      <c s="7" r="R2615">
        <f>IF((P2615&gt;0),O2615,0)</f>
        <v>0</v>
      </c>
      <c t="str" r="S2615">
        <f>CONCATENATE(F2615,E2615)</f>
        <v>NON FTLNON FTL</v>
      </c>
    </row>
    <row r="2616">
      <c t="s" s="7" r="A2616">
        <v>201</v>
      </c>
      <c s="7" r="B2616">
        <v>2643</v>
      </c>
      <c s="30" r="C2616">
        <v>36</v>
      </c>
      <c t="s" s="30" r="D2616">
        <v>147</v>
      </c>
      <c t="s" s="30" r="E2616">
        <v>4</v>
      </c>
      <c t="s" s="30" r="F2616">
        <v>4</v>
      </c>
      <c t="s" s="30" r="G2616">
        <v>294</v>
      </c>
      <c t="str" s="12" r="H2616">
        <f>HYPERLINK("http://sofifa.com/en/fifa13winter/player/150403-daniele-rugani","D. Rugani")</f>
        <v>D. Rugani</v>
      </c>
      <c s="30" r="I2616">
        <v>64</v>
      </c>
      <c t="s" s="30" r="J2616">
        <v>113</v>
      </c>
      <c t="s" s="30" r="K2616">
        <v>134</v>
      </c>
      <c t="s" s="30" r="L2616">
        <v>161</v>
      </c>
      <c s="30" r="M2616">
        <v>18</v>
      </c>
      <c s="26" r="N2616">
        <v>1</v>
      </c>
      <c s="23" r="O2616">
        <v>0.003</v>
      </c>
      <c s="7" r="P2616"/>
      <c s="7" r="Q2616"/>
      <c s="7" r="R2616">
        <f>IF((P2616&gt;0),O2616,0)</f>
        <v>0</v>
      </c>
      <c t="str" r="S2616">
        <f>CONCATENATE(F2616,E2616)</f>
        <v>NON FTLNON FTL</v>
      </c>
    </row>
    <row r="2617">
      <c t="s" s="7" r="A2617">
        <v>201</v>
      </c>
      <c s="7" r="B2617">
        <v>2644</v>
      </c>
      <c s="30" r="C2617">
        <v>25</v>
      </c>
      <c t="s" s="30" r="D2617">
        <v>106</v>
      </c>
      <c t="s" s="30" r="E2617">
        <v>4</v>
      </c>
      <c t="s" s="30" r="F2617">
        <v>4</v>
      </c>
      <c t="s" s="30" r="G2617">
        <v>295</v>
      </c>
      <c t="str" s="12" r="H2617">
        <f>HYPERLINK("http://sofifa.com/en/fifa13winter/player/147631-hugo-lloris","H. Lloris")</f>
        <v>H. Lloris</v>
      </c>
      <c s="30" r="I2617">
        <v>85</v>
      </c>
      <c t="s" s="30" r="J2617">
        <v>106</v>
      </c>
      <c t="s" s="30" r="K2617">
        <v>134</v>
      </c>
      <c t="s" s="30" r="L2617">
        <v>161</v>
      </c>
      <c s="30" r="M2617">
        <v>25</v>
      </c>
      <c s="26" r="N2617">
        <v>16.2</v>
      </c>
      <c s="23" r="O2617">
        <v>0.1</v>
      </c>
      <c s="7" r="P2617"/>
      <c s="7" r="Q2617"/>
      <c s="7" r="R2617">
        <f>IF((P2617&gt;0),O2617,0)</f>
        <v>0</v>
      </c>
      <c t="str" r="S2617">
        <f>CONCATENATE(F2617,E2617)</f>
        <v>NON FTLNON FTL</v>
      </c>
    </row>
    <row r="2618">
      <c t="s" s="7" r="A2618">
        <v>201</v>
      </c>
      <c s="7" r="B2618">
        <v>2645</v>
      </c>
      <c s="30" r="C2618">
        <v>28</v>
      </c>
      <c t="s" s="30" r="D2618">
        <v>109</v>
      </c>
      <c t="s" s="30" r="E2618">
        <v>4</v>
      </c>
      <c t="s" s="30" r="F2618">
        <v>4</v>
      </c>
      <c t="s" s="30" r="G2618">
        <v>295</v>
      </c>
      <c t="str" s="12" r="H2618">
        <f>HYPERLINK("http://sofifa.com/en/fifa13winter/player/148880-kyle-walker","K. Walker")</f>
        <v>K. Walker</v>
      </c>
      <c s="30" r="I2618">
        <v>79</v>
      </c>
      <c t="s" s="30" r="J2618">
        <v>109</v>
      </c>
      <c t="s" s="30" r="K2618">
        <v>118</v>
      </c>
      <c t="s" s="30" r="L2618">
        <v>160</v>
      </c>
      <c s="30" r="M2618">
        <v>22</v>
      </c>
      <c s="26" r="N2618">
        <v>8</v>
      </c>
      <c s="23" r="O2618">
        <v>0.02</v>
      </c>
      <c s="7" r="P2618"/>
      <c s="7" r="Q2618"/>
      <c s="7" r="R2618">
        <f>IF((P2618&gt;0),O2618,0)</f>
        <v>0</v>
      </c>
      <c t="str" r="S2618">
        <f>CONCATENATE(F2618,E2618)</f>
        <v>NON FTLNON FTL</v>
      </c>
    </row>
    <row r="2619">
      <c t="s" s="7" r="A2619">
        <v>201</v>
      </c>
      <c s="7" r="B2619">
        <v>2646</v>
      </c>
      <c s="30" r="C2619">
        <v>20</v>
      </c>
      <c t="s" s="30" r="D2619">
        <v>112</v>
      </c>
      <c t="s" s="30" r="E2619">
        <v>4</v>
      </c>
      <c t="s" s="30" r="F2619">
        <v>4</v>
      </c>
      <c t="s" s="30" r="G2619">
        <v>295</v>
      </c>
      <c t="str" s="12" r="H2619">
        <f>HYPERLINK("http://sofifa.com/en/fifa13winter/player/146497-michael-dawson","M. Dawson")</f>
        <v>M. Dawson</v>
      </c>
      <c s="30" r="I2619">
        <v>79</v>
      </c>
      <c t="s" s="30" r="J2619">
        <v>113</v>
      </c>
      <c t="s" s="30" r="K2619">
        <v>134</v>
      </c>
      <c t="s" s="30" r="L2619">
        <v>137</v>
      </c>
      <c s="30" r="M2619">
        <v>28</v>
      </c>
      <c s="26" r="N2619">
        <v>6.8</v>
      </c>
      <c s="23" r="O2619">
        <v>0.023</v>
      </c>
      <c s="7" r="P2619"/>
      <c s="7" r="Q2619"/>
      <c s="7" r="R2619">
        <f>IF((P2619&gt;0),O2619,0)</f>
        <v>0</v>
      </c>
      <c t="str" r="S2619">
        <f>CONCATENATE(F2619,E2619)</f>
        <v>NON FTLNON FTL</v>
      </c>
    </row>
    <row r="2620">
      <c t="s" s="7" r="A2620">
        <v>201</v>
      </c>
      <c s="7" r="B2620">
        <v>2647</v>
      </c>
      <c s="30" r="C2620">
        <v>5</v>
      </c>
      <c t="s" s="30" r="D2620">
        <v>116</v>
      </c>
      <c t="s" s="30" r="E2620">
        <v>4</v>
      </c>
      <c t="s" s="30" r="F2620">
        <v>4</v>
      </c>
      <c t="s" s="30" r="G2620">
        <v>295</v>
      </c>
      <c t="str" s="12" r="H2620">
        <f>HYPERLINK("http://sofifa.com/en/fifa13winter/player/147750-jan-vertonghen","J. Vertonghen")</f>
        <v>J. Vertonghen</v>
      </c>
      <c s="30" r="I2620">
        <v>82</v>
      </c>
      <c t="s" s="30" r="J2620">
        <v>113</v>
      </c>
      <c t="s" s="30" r="K2620">
        <v>169</v>
      </c>
      <c t="s" s="30" r="L2620">
        <v>158</v>
      </c>
      <c s="30" r="M2620">
        <v>25</v>
      </c>
      <c s="26" r="N2620">
        <v>13.4</v>
      </c>
      <c s="23" r="O2620">
        <v>0.053</v>
      </c>
      <c s="7" r="P2620"/>
      <c s="7" r="Q2620"/>
      <c s="7" r="R2620">
        <f>IF((P2620&gt;0),O2620,0)</f>
        <v>0</v>
      </c>
      <c t="str" r="S2620">
        <f>CONCATENATE(F2620,E2620)</f>
        <v>NON FTLNON FTL</v>
      </c>
    </row>
    <row r="2621">
      <c t="s" s="7" r="A2621">
        <v>201</v>
      </c>
      <c s="7" r="B2621">
        <v>2648</v>
      </c>
      <c s="30" r="C2621">
        <v>32</v>
      </c>
      <c t="s" s="30" r="D2621">
        <v>117</v>
      </c>
      <c t="s" s="30" r="E2621">
        <v>4</v>
      </c>
      <c t="s" s="30" r="F2621">
        <v>4</v>
      </c>
      <c t="s" s="30" r="G2621">
        <v>295</v>
      </c>
      <c t="str" s="12" r="H2621">
        <f>HYPERLINK("http://sofifa.com/en/fifa13winter/player/146624-benoit-assou-ekotto","B. Assou-Ekotto")</f>
        <v>B. Assou-Ekotto</v>
      </c>
      <c s="30" r="I2621">
        <v>78</v>
      </c>
      <c t="s" s="30" r="J2621">
        <v>117</v>
      </c>
      <c t="s" s="30" r="K2621">
        <v>114</v>
      </c>
      <c t="s" s="30" r="L2621">
        <v>111</v>
      </c>
      <c s="30" r="M2621">
        <v>28</v>
      </c>
      <c s="26" r="N2621">
        <v>5.7</v>
      </c>
      <c s="23" r="O2621">
        <v>0.02</v>
      </c>
      <c s="7" r="P2621"/>
      <c s="7" r="Q2621"/>
      <c s="7" r="R2621">
        <f>IF((P2621&gt;0),O2621,0)</f>
        <v>0</v>
      </c>
      <c t="str" r="S2621">
        <f>CONCATENATE(F2621,E2621)</f>
        <v>NON FTLNON FTL</v>
      </c>
    </row>
    <row r="2622">
      <c t="s" s="7" r="A2622">
        <v>201</v>
      </c>
      <c s="7" r="B2622">
        <v>2649</v>
      </c>
      <c s="30" r="C2622">
        <v>7</v>
      </c>
      <c t="s" s="30" r="D2622">
        <v>120</v>
      </c>
      <c t="s" s="30" r="E2622">
        <v>4</v>
      </c>
      <c t="s" s="30" r="F2622">
        <v>4</v>
      </c>
      <c t="s" s="30" r="G2622">
        <v>295</v>
      </c>
      <c t="str" s="12" r="H2622">
        <f>HYPERLINK("http://sofifa.com/en/fifa13winter/player/147742-aaron-lennon","A. Lennon")</f>
        <v>A. Lennon</v>
      </c>
      <c s="30" r="I2622">
        <v>80</v>
      </c>
      <c t="s" s="30" r="J2622">
        <v>120</v>
      </c>
      <c t="s" s="30" r="K2622">
        <v>197</v>
      </c>
      <c t="s" s="30" r="L2622">
        <v>168</v>
      </c>
      <c s="30" r="M2622">
        <v>25</v>
      </c>
      <c s="26" r="N2622">
        <v>11.6</v>
      </c>
      <c s="23" r="O2622">
        <v>0.03</v>
      </c>
      <c s="7" r="P2622"/>
      <c s="7" r="Q2622"/>
      <c s="7" r="R2622">
        <f>IF((P2622&gt;0),O2622,0)</f>
        <v>0</v>
      </c>
      <c t="str" r="S2622">
        <f>CONCATENATE(F2622,E2622)</f>
        <v>NON FTLNON FTL</v>
      </c>
    </row>
    <row r="2623">
      <c t="s" s="7" r="A2623">
        <v>201</v>
      </c>
      <c s="7" r="B2623">
        <v>2650</v>
      </c>
      <c s="30" r="C2623">
        <v>30</v>
      </c>
      <c t="s" s="30" r="D2623">
        <v>123</v>
      </c>
      <c t="s" s="30" r="E2623">
        <v>4</v>
      </c>
      <c t="s" s="30" r="F2623">
        <v>4</v>
      </c>
      <c t="s" s="30" r="G2623">
        <v>295</v>
      </c>
      <c t="str" s="12" r="H2623">
        <f>HYPERLINK("http://sofifa.com/en/fifa13winter/player/148441-sandro-r-g-cordeiro","Sandro")</f>
        <v>Sandro</v>
      </c>
      <c s="30" r="I2623">
        <v>81</v>
      </c>
      <c t="s" s="30" r="J2623">
        <v>154</v>
      </c>
      <c t="s" s="30" r="K2623">
        <v>155</v>
      </c>
      <c t="s" s="30" r="L2623">
        <v>151</v>
      </c>
      <c s="30" r="M2623">
        <v>23</v>
      </c>
      <c s="26" r="N2623">
        <v>11.3</v>
      </c>
      <c s="23" r="O2623">
        <v>0.038</v>
      </c>
      <c s="7" r="P2623"/>
      <c s="7" r="Q2623"/>
      <c s="7" r="R2623">
        <f>IF((P2623&gt;0),O2623,0)</f>
        <v>0</v>
      </c>
      <c t="str" r="S2623">
        <f>CONCATENATE(F2623,E2623)</f>
        <v>NON FTLNON FTL</v>
      </c>
    </row>
    <row r="2624">
      <c t="s" s="7" r="A2624">
        <v>201</v>
      </c>
      <c s="7" r="B2624">
        <v>2651</v>
      </c>
      <c s="30" r="C2624">
        <v>19</v>
      </c>
      <c t="s" s="30" r="D2624">
        <v>126</v>
      </c>
      <c t="s" s="30" r="E2624">
        <v>4</v>
      </c>
      <c t="s" s="30" r="F2624">
        <v>4</v>
      </c>
      <c t="s" s="30" r="G2624">
        <v>295</v>
      </c>
      <c t="str" s="12" r="H2624">
        <f>HYPERLINK("http://sofifa.com/en/fifa13winter/player/147833-moussa-dembele","M. Dembélé")</f>
        <v>M. Dembélé</v>
      </c>
      <c s="30" r="I2624">
        <v>81</v>
      </c>
      <c t="s" s="30" r="J2624">
        <v>162</v>
      </c>
      <c t="s" s="30" r="K2624">
        <v>132</v>
      </c>
      <c t="s" s="30" r="L2624">
        <v>108</v>
      </c>
      <c s="30" r="M2624">
        <v>25</v>
      </c>
      <c s="26" r="N2624">
        <v>17.8</v>
      </c>
      <c s="23" r="O2624">
        <v>0.04</v>
      </c>
      <c s="7" r="P2624"/>
      <c s="7" r="Q2624"/>
      <c s="7" r="R2624">
        <f>IF((P2624&gt;0),O2624,0)</f>
        <v>0</v>
      </c>
      <c t="str" r="S2624">
        <f>CONCATENATE(F2624,E2624)</f>
        <v>NON FTLNON FTL</v>
      </c>
    </row>
    <row r="2625">
      <c t="s" s="7" r="A2625">
        <v>201</v>
      </c>
      <c s="7" r="B2625">
        <v>2652</v>
      </c>
      <c s="30" r="C2625">
        <v>2</v>
      </c>
      <c t="s" s="30" r="D2625">
        <v>128</v>
      </c>
      <c t="s" s="30" r="E2625">
        <v>4</v>
      </c>
      <c t="s" s="30" r="F2625">
        <v>4</v>
      </c>
      <c t="s" s="30" r="G2625">
        <v>295</v>
      </c>
      <c t="str" s="12" r="H2625">
        <f>HYPERLINK("http://sofifa.com/en/fifa13winter/player/146243-clint-dempsey","C. Dempsey")</f>
        <v>C. Dempsey</v>
      </c>
      <c s="30" r="I2625">
        <v>80</v>
      </c>
      <c t="s" s="30" r="J2625">
        <v>162</v>
      </c>
      <c t="s" s="30" r="K2625">
        <v>132</v>
      </c>
      <c t="s" s="30" r="L2625">
        <v>156</v>
      </c>
      <c s="30" r="M2625">
        <v>29</v>
      </c>
      <c s="26" r="N2625">
        <v>9.9</v>
      </c>
      <c s="23" r="O2625">
        <v>0.032</v>
      </c>
      <c s="7" r="P2625"/>
      <c s="7" r="Q2625"/>
      <c s="7" r="R2625">
        <f>IF((P2625&gt;0),O2625,0)</f>
        <v>0</v>
      </c>
      <c t="str" r="S2625">
        <f>CONCATENATE(F2625,E2625)</f>
        <v>NON FTLNON FTL</v>
      </c>
    </row>
    <row r="2626">
      <c t="s" s="7" r="A2626">
        <v>201</v>
      </c>
      <c s="7" r="B2626">
        <v>2653</v>
      </c>
      <c s="30" r="C2626">
        <v>11</v>
      </c>
      <c t="s" s="30" r="D2626">
        <v>171</v>
      </c>
      <c t="s" s="30" r="E2626">
        <v>4</v>
      </c>
      <c t="s" s="30" r="F2626">
        <v>4</v>
      </c>
      <c t="s" s="30" r="G2626">
        <v>295</v>
      </c>
      <c t="str" s="12" r="H2626">
        <f>HYPERLINK("http://sofifa.com/en/fifa13winter/player/148564-gareth-bale","G. Bale")</f>
        <v>G. Bale</v>
      </c>
      <c s="30" r="I2626">
        <v>86</v>
      </c>
      <c t="s" s="30" r="J2626">
        <v>171</v>
      </c>
      <c t="s" s="30" r="K2626">
        <v>110</v>
      </c>
      <c t="s" s="30" r="L2626">
        <v>160</v>
      </c>
      <c s="30" r="M2626">
        <v>23</v>
      </c>
      <c s="26" r="N2626">
        <v>33.2</v>
      </c>
      <c s="23" r="O2626">
        <v>0.13</v>
      </c>
      <c s="7" r="P2626"/>
      <c s="7" r="Q2626"/>
      <c s="7" r="R2626">
        <f>IF((P2626&gt;0),O2626,0)</f>
        <v>0</v>
      </c>
      <c t="str" r="S2626">
        <f>CONCATENATE(F2626,E2626)</f>
        <v>NON FTLNON FTL</v>
      </c>
    </row>
    <row r="2627">
      <c t="s" s="7" r="A2627">
        <v>201</v>
      </c>
      <c s="7" r="B2627">
        <v>2654</v>
      </c>
      <c s="30" r="C2627">
        <v>10</v>
      </c>
      <c t="s" s="30" r="D2627">
        <v>129</v>
      </c>
      <c t="s" s="30" r="E2627">
        <v>4</v>
      </c>
      <c t="s" s="30" r="F2627">
        <v>4</v>
      </c>
      <c t="s" s="30" r="G2627">
        <v>295</v>
      </c>
      <c t="str" s="12" r="H2627">
        <f>HYPERLINK("http://sofifa.com/en/fifa13winter/player/146597-emmanuel-adebayor","E. Adebayor")</f>
        <v>E. Adebayor</v>
      </c>
      <c s="30" r="I2627">
        <v>80</v>
      </c>
      <c t="s" s="30" r="J2627">
        <v>129</v>
      </c>
      <c t="s" s="30" r="K2627">
        <v>144</v>
      </c>
      <c t="s" s="30" r="L2627">
        <v>193</v>
      </c>
      <c s="30" r="M2627">
        <v>28</v>
      </c>
      <c s="26" r="N2627">
        <v>10.9</v>
      </c>
      <c s="23" r="O2627">
        <v>0.031</v>
      </c>
      <c s="7" r="P2627"/>
      <c s="7" r="Q2627"/>
      <c s="7" r="R2627">
        <f>IF((P2627&gt;0),O2627,0)</f>
        <v>0</v>
      </c>
      <c t="str" r="S2627">
        <f>CONCATENATE(F2627,E2627)</f>
        <v>NON FTLNON FTL</v>
      </c>
    </row>
    <row r="2628">
      <c t="s" s="7" r="A2628">
        <v>201</v>
      </c>
      <c s="7" r="B2628">
        <v>2655</v>
      </c>
      <c s="30" r="C2628">
        <v>29</v>
      </c>
      <c t="s" s="30" r="D2628">
        <v>136</v>
      </c>
      <c t="s" s="30" r="E2628">
        <v>4</v>
      </c>
      <c t="s" s="30" r="F2628">
        <v>4</v>
      </c>
      <c t="s" s="30" r="G2628">
        <v>295</v>
      </c>
      <c t="str" s="12" r="H2628">
        <f>HYPERLINK("http://sofifa.com/en/fifa13winter/player/148685-jake-livermore","J. Livermore")</f>
        <v>J. Livermore</v>
      </c>
      <c s="30" r="I2628">
        <v>74</v>
      </c>
      <c t="s" s="30" r="J2628">
        <v>154</v>
      </c>
      <c t="s" s="30" r="K2628">
        <v>114</v>
      </c>
      <c t="s" s="30" r="L2628">
        <v>137</v>
      </c>
      <c s="30" r="M2628">
        <v>22</v>
      </c>
      <c s="26" r="N2628">
        <v>3.4</v>
      </c>
      <c s="23" r="O2628">
        <v>0.01</v>
      </c>
      <c s="7" r="P2628"/>
      <c s="7" r="Q2628"/>
      <c s="7" r="R2628">
        <f>IF((P2628&gt;0),O2628,0)</f>
        <v>0</v>
      </c>
      <c t="str" r="S2628">
        <f>CONCATENATE(F2628,E2628)</f>
        <v>NON FTLNON FTL</v>
      </c>
    </row>
    <row r="2629">
      <c t="s" s="7" r="A2629">
        <v>201</v>
      </c>
      <c s="7" r="B2629">
        <v>2656</v>
      </c>
      <c s="30" r="C2629">
        <v>8</v>
      </c>
      <c t="s" s="30" r="D2629">
        <v>136</v>
      </c>
      <c t="s" s="30" r="E2629">
        <v>4</v>
      </c>
      <c t="s" s="30" r="F2629">
        <v>4</v>
      </c>
      <c t="s" s="30" r="G2629">
        <v>295</v>
      </c>
      <c t="str" s="12" r="H2629">
        <f>HYPERLINK("http://sofifa.com/en/fifa13winter/player/145366-scott-parker","S. Parker")</f>
        <v>S. Parker</v>
      </c>
      <c s="30" r="I2629">
        <v>80</v>
      </c>
      <c t="s" s="30" r="J2629">
        <v>154</v>
      </c>
      <c t="s" s="30" r="K2629">
        <v>139</v>
      </c>
      <c t="s" s="30" r="L2629">
        <v>111</v>
      </c>
      <c s="30" r="M2629">
        <v>31</v>
      </c>
      <c s="26" r="N2629">
        <v>7.2</v>
      </c>
      <c s="23" r="O2629">
        <v>0.035</v>
      </c>
      <c s="7" r="P2629"/>
      <c s="7" r="Q2629"/>
      <c s="7" r="R2629">
        <f>IF((P2629&gt;0),O2629,0)</f>
        <v>0</v>
      </c>
      <c t="str" r="S2629">
        <f>CONCATENATE(F2629,E2629)</f>
        <v>NON FTLNON FTL</v>
      </c>
    </row>
    <row r="2630">
      <c t="s" s="7" r="A2630">
        <v>201</v>
      </c>
      <c s="7" r="B2630">
        <v>2657</v>
      </c>
      <c s="30" r="C2630">
        <v>33</v>
      </c>
      <c t="s" s="30" r="D2630">
        <v>136</v>
      </c>
      <c t="s" s="30" r="E2630">
        <v>4</v>
      </c>
      <c t="s" s="30" r="F2630">
        <v>4</v>
      </c>
      <c t="s" s="30" r="G2630">
        <v>295</v>
      </c>
      <c t="str" s="12" r="H2630">
        <f>HYPERLINK("http://sofifa.com/en/fifa13winter/player/149460-steven-caulker","S. Caulker")</f>
        <v>S. Caulker</v>
      </c>
      <c s="30" r="I2630">
        <v>75</v>
      </c>
      <c t="s" s="30" r="J2630">
        <v>113</v>
      </c>
      <c t="s" s="30" r="K2630">
        <v>144</v>
      </c>
      <c t="s" s="30" r="L2630">
        <v>137</v>
      </c>
      <c s="30" r="M2630">
        <v>20</v>
      </c>
      <c s="26" r="N2630">
        <v>4.6</v>
      </c>
      <c s="23" r="O2630">
        <v>0.011</v>
      </c>
      <c s="7" r="P2630"/>
      <c s="7" r="Q2630"/>
      <c s="7" r="R2630">
        <f>IF((P2630&gt;0),O2630,0)</f>
        <v>0</v>
      </c>
      <c t="str" r="S2630">
        <f>CONCATENATE(F2630,E2630)</f>
        <v>NON FTLNON FTL</v>
      </c>
    </row>
    <row r="2631">
      <c t="s" s="7" r="A2631">
        <v>201</v>
      </c>
      <c s="7" r="B2631">
        <v>2658</v>
      </c>
      <c s="30" r="C2631">
        <v>31</v>
      </c>
      <c t="s" s="30" r="D2631">
        <v>136</v>
      </c>
      <c t="s" s="30" r="E2631">
        <v>4</v>
      </c>
      <c t="s" s="30" r="F2631">
        <v>4</v>
      </c>
      <c t="s" s="30" r="G2631">
        <v>295</v>
      </c>
      <c t="str" s="12" r="H2631">
        <f>HYPERLINK("http://sofifa.com/en/fifa13winter/player/149294-andros-townsend","A. Townsend")</f>
        <v>A. Townsend</v>
      </c>
      <c s="30" r="I2631">
        <v>71</v>
      </c>
      <c t="s" s="30" r="J2631">
        <v>120</v>
      </c>
      <c t="s" s="30" r="K2631">
        <v>150</v>
      </c>
      <c t="s" s="30" r="L2631">
        <v>138</v>
      </c>
      <c s="30" r="M2631">
        <v>21</v>
      </c>
      <c s="26" r="N2631">
        <v>2.5</v>
      </c>
      <c s="23" r="O2631">
        <v>0.007</v>
      </c>
      <c s="7" r="P2631"/>
      <c s="7" r="Q2631"/>
      <c s="7" r="R2631">
        <f>IF((P2631&gt;0),O2631,0)</f>
        <v>0</v>
      </c>
      <c t="str" r="S2631">
        <f>CONCATENATE(F2631,E2631)</f>
        <v>NON FTLNON FTL</v>
      </c>
    </row>
    <row r="2632">
      <c t="s" s="7" r="A2632">
        <v>201</v>
      </c>
      <c s="7" r="B2632">
        <v>2659</v>
      </c>
      <c s="30" r="C2632">
        <v>46</v>
      </c>
      <c t="s" s="30" r="D2632">
        <v>136</v>
      </c>
      <c t="s" s="30" r="E2632">
        <v>4</v>
      </c>
      <c t="s" s="30" r="F2632">
        <v>4</v>
      </c>
      <c t="s" s="30" r="G2632">
        <v>295</v>
      </c>
      <c t="str" s="12" r="H2632">
        <f>HYPERLINK("http://sofifa.com/en/fifa13winter/player/149611-tom-carroll","T. Carroll")</f>
        <v>T. Carroll</v>
      </c>
      <c s="30" r="I2632">
        <v>69</v>
      </c>
      <c t="s" s="30" r="J2632">
        <v>124</v>
      </c>
      <c t="s" s="30" r="K2632">
        <v>195</v>
      </c>
      <c t="s" s="30" r="L2632">
        <v>168</v>
      </c>
      <c s="30" r="M2632">
        <v>20</v>
      </c>
      <c s="26" r="N2632">
        <v>1.9</v>
      </c>
      <c s="23" r="O2632">
        <v>0.005</v>
      </c>
      <c s="7" r="P2632"/>
      <c s="7" r="Q2632"/>
      <c s="7" r="R2632">
        <f>IF((P2632&gt;0),O2632,0)</f>
        <v>0</v>
      </c>
      <c t="str" r="S2632">
        <f>CONCATENATE(F2632,E2632)</f>
        <v>NON FTLNON FTL</v>
      </c>
    </row>
    <row r="2633">
      <c t="s" s="7" r="A2633">
        <v>201</v>
      </c>
      <c s="7" r="B2633">
        <v>2660</v>
      </c>
      <c s="30" r="C2633">
        <v>23</v>
      </c>
      <c t="s" s="30" r="D2633">
        <v>136</v>
      </c>
      <c t="s" s="30" r="E2633">
        <v>4</v>
      </c>
      <c t="s" s="30" r="F2633">
        <v>4</v>
      </c>
      <c t="s" s="30" r="G2633">
        <v>295</v>
      </c>
      <c t="str" s="12" r="H2633">
        <f>HYPERLINK("http://sofifa.com/en/fifa13winter/player/148993-lewis-holtby","L. Holtby")</f>
        <v>L. Holtby</v>
      </c>
      <c s="30" r="I2633">
        <v>78</v>
      </c>
      <c t="s" s="30" r="J2633">
        <v>162</v>
      </c>
      <c t="s" s="30" r="K2633">
        <v>172</v>
      </c>
      <c t="s" s="30" r="L2633">
        <v>146</v>
      </c>
      <c s="30" r="M2633">
        <v>21</v>
      </c>
      <c s="26" r="N2633">
        <v>9.1</v>
      </c>
      <c s="23" r="O2633">
        <v>0.017</v>
      </c>
      <c s="7" r="P2633"/>
      <c s="7" r="Q2633"/>
      <c s="7" r="R2633">
        <f>IF((P2633&gt;0),O2633,0)</f>
        <v>0</v>
      </c>
      <c t="str" r="S2633">
        <f>CONCATENATE(F2633,E2633)</f>
        <v>NON FTLNON FTL</v>
      </c>
    </row>
    <row r="2634">
      <c t="s" s="7" r="A2634">
        <v>201</v>
      </c>
      <c s="7" r="B2634">
        <v>2661</v>
      </c>
      <c s="30" r="C2634">
        <v>16</v>
      </c>
      <c t="s" s="30" r="D2634">
        <v>136</v>
      </c>
      <c t="s" s="30" r="E2634">
        <v>4</v>
      </c>
      <c t="s" s="30" r="F2634">
        <v>4</v>
      </c>
      <c t="s" s="30" r="G2634">
        <v>295</v>
      </c>
      <c t="str" s="12" r="H2634">
        <f>HYPERLINK("http://sofifa.com/en/fifa13winter/player/148317-kyle-naughton","K. Naughton")</f>
        <v>K. Naughton</v>
      </c>
      <c s="30" r="I2634">
        <v>73</v>
      </c>
      <c t="s" s="30" r="J2634">
        <v>109</v>
      </c>
      <c t="s" s="30" r="K2634">
        <v>114</v>
      </c>
      <c t="s" s="30" r="L2634">
        <v>119</v>
      </c>
      <c s="30" r="M2634">
        <v>23</v>
      </c>
      <c s="26" r="N2634">
        <v>2.9</v>
      </c>
      <c s="23" r="O2634">
        <v>0.009</v>
      </c>
      <c s="7" r="P2634"/>
      <c s="7" r="Q2634"/>
      <c s="7" r="R2634">
        <f>IF((P2634&gt;0),O2634,0)</f>
        <v>0</v>
      </c>
      <c t="str" r="S2634">
        <f>CONCATENATE(F2634,E2634)</f>
        <v>NON FTLNON FTL</v>
      </c>
    </row>
    <row r="2635">
      <c t="s" s="7" r="A2635">
        <v>201</v>
      </c>
      <c s="7" r="B2635">
        <v>2662</v>
      </c>
      <c s="30" r="C2635">
        <v>22</v>
      </c>
      <c t="s" s="30" r="D2635">
        <v>136</v>
      </c>
      <c t="s" s="30" r="E2635">
        <v>4</v>
      </c>
      <c t="s" s="30" r="F2635">
        <v>4</v>
      </c>
      <c t="s" s="30" r="G2635">
        <v>295</v>
      </c>
      <c t="str" s="12" r="H2635">
        <f>HYPERLINK("http://sofifa.com/en/fifa13winter/player/148619-gylfi-sigurdhsson","G. Sigurðsson")</f>
        <v>G. Sigurðsson</v>
      </c>
      <c s="30" r="I2635">
        <v>76</v>
      </c>
      <c t="s" s="30" r="J2635">
        <v>162</v>
      </c>
      <c t="s" s="30" r="K2635">
        <v>173</v>
      </c>
      <c t="s" s="30" r="L2635">
        <v>158</v>
      </c>
      <c s="30" r="M2635">
        <v>22</v>
      </c>
      <c s="26" r="N2635">
        <v>6.5</v>
      </c>
      <c s="23" r="O2635">
        <v>0.014</v>
      </c>
      <c s="7" r="P2635"/>
      <c s="7" r="Q2635"/>
      <c s="7" r="R2635">
        <f>IF((P2635&gt;0),O2635,0)</f>
        <v>0</v>
      </c>
      <c t="str" r="S2635">
        <f>CONCATENATE(F2635,E2635)</f>
        <v>NON FTLNON FTL</v>
      </c>
    </row>
    <row r="2636">
      <c t="s" s="7" r="A2636">
        <v>201</v>
      </c>
      <c s="7" r="B2636">
        <v>2663</v>
      </c>
      <c s="30" r="C2636">
        <v>24</v>
      </c>
      <c t="s" s="30" r="D2636">
        <v>136</v>
      </c>
      <c t="s" s="30" r="E2636">
        <v>4</v>
      </c>
      <c t="s" s="30" r="F2636">
        <v>4</v>
      </c>
      <c t="s" s="30" r="G2636">
        <v>295</v>
      </c>
      <c t="str" s="12" r="H2636">
        <f>HYPERLINK("http://sofifa.com/en/fifa13winter/player/141930-brad-friedel","B. Friedel")</f>
        <v>B. Friedel</v>
      </c>
      <c s="30" r="I2636">
        <v>80</v>
      </c>
      <c t="s" s="30" r="J2636">
        <v>106</v>
      </c>
      <c t="s" s="30" r="K2636">
        <v>134</v>
      </c>
      <c t="s" s="30" r="L2636">
        <v>135</v>
      </c>
      <c s="30" r="M2636">
        <v>41</v>
      </c>
      <c s="26" r="N2636">
        <v>2.8</v>
      </c>
      <c s="23" r="O2636">
        <v>0.038</v>
      </c>
      <c s="7" r="P2636"/>
      <c s="7" r="Q2636"/>
      <c s="7" r="R2636">
        <f>IF((P2636&gt;0),O2636,0)</f>
        <v>0</v>
      </c>
      <c t="str" r="S2636">
        <f>CONCATENATE(F2636,E2636)</f>
        <v>NON FTLNON FTL</v>
      </c>
    </row>
    <row r="2637">
      <c t="s" s="7" r="A2637">
        <v>201</v>
      </c>
      <c s="7" r="B2637">
        <v>2664</v>
      </c>
      <c s="30" r="C2637">
        <v>18</v>
      </c>
      <c t="s" s="30" r="D2637">
        <v>136</v>
      </c>
      <c t="s" s="30" r="E2637">
        <v>4</v>
      </c>
      <c t="s" s="30" r="F2637">
        <v>4</v>
      </c>
      <c t="s" s="30" r="G2637">
        <v>295</v>
      </c>
      <c t="str" s="12" r="H2637">
        <f>HYPERLINK("http://sofifa.com/en/fifa13winter/player/146090-jermain-defoe","J. Defoe")</f>
        <v>J. Defoe</v>
      </c>
      <c s="30" r="I2637">
        <v>82</v>
      </c>
      <c t="s" s="30" r="J2637">
        <v>129</v>
      </c>
      <c t="s" s="30" r="K2637">
        <v>205</v>
      </c>
      <c t="s" s="30" r="L2637">
        <v>149</v>
      </c>
      <c s="30" r="M2637">
        <v>29</v>
      </c>
      <c s="26" r="N2637">
        <v>15.6</v>
      </c>
      <c s="23" r="O2637">
        <v>0.057</v>
      </c>
      <c s="7" r="P2637"/>
      <c s="7" r="Q2637"/>
      <c s="7" r="R2637">
        <f>IF((P2637&gt;0),O2637,0)</f>
        <v>0</v>
      </c>
      <c t="str" r="S2637">
        <f>CONCATENATE(F2637,E2637)</f>
        <v>NON FTLNON FTL</v>
      </c>
    </row>
    <row r="2638">
      <c t="s" s="7" r="A2638">
        <v>201</v>
      </c>
      <c s="7" r="B2638">
        <v>2665</v>
      </c>
      <c s="30" r="C2638">
        <v>6</v>
      </c>
      <c t="s" s="30" r="D2638">
        <v>136</v>
      </c>
      <c t="s" s="30" r="E2638">
        <v>4</v>
      </c>
      <c t="s" s="30" r="F2638">
        <v>4</v>
      </c>
      <c t="s" s="30" r="G2638">
        <v>295</v>
      </c>
      <c t="str" s="12" r="H2638">
        <f>HYPERLINK("http://sofifa.com/en/fifa13winter/player/147633-tom-huddlestone","T. Huddlestone")</f>
        <v>T. Huddlestone</v>
      </c>
      <c s="30" r="I2638">
        <v>77</v>
      </c>
      <c t="s" s="30" r="J2638">
        <v>124</v>
      </c>
      <c t="s" s="30" r="K2638">
        <v>134</v>
      </c>
      <c t="s" s="30" r="L2638">
        <v>156</v>
      </c>
      <c s="30" r="M2638">
        <v>25</v>
      </c>
      <c s="26" r="N2638">
        <v>6.1</v>
      </c>
      <c s="23" r="O2638">
        <v>0.017</v>
      </c>
      <c s="7" r="P2638"/>
      <c s="7" r="Q2638"/>
      <c s="7" r="R2638">
        <f>IF((P2638&gt;0),O2638,0)</f>
        <v>0</v>
      </c>
      <c t="str" r="S2638">
        <f>CONCATENATE(F2638,E2638)</f>
        <v>NON FTLNON FTL</v>
      </c>
    </row>
    <row r="2639">
      <c t="s" s="7" r="A2639">
        <v>201</v>
      </c>
      <c s="7" r="B2639">
        <v>2666</v>
      </c>
      <c s="30" r="C2639">
        <v>4</v>
      </c>
      <c t="s" s="30" r="D2639">
        <v>136</v>
      </c>
      <c t="s" s="30" r="E2639">
        <v>4</v>
      </c>
      <c t="s" s="30" r="F2639">
        <v>4</v>
      </c>
      <c t="s" s="30" r="G2639">
        <v>295</v>
      </c>
      <c t="str" s="12" r="H2639">
        <f>HYPERLINK("http://sofifa.com/en/fifa13winter/player/147275-younes-kaboul","Y. Kaboul")</f>
        <v>Y. Kaboul</v>
      </c>
      <c s="30" r="I2639">
        <v>80</v>
      </c>
      <c t="s" s="30" r="J2639">
        <v>113</v>
      </c>
      <c t="s" s="30" r="K2639">
        <v>144</v>
      </c>
      <c t="s" s="30" r="L2639">
        <v>192</v>
      </c>
      <c s="30" r="M2639">
        <v>26</v>
      </c>
      <c s="26" r="N2639">
        <v>10.2</v>
      </c>
      <c s="23" r="O2639">
        <v>0.03</v>
      </c>
      <c s="7" r="P2639"/>
      <c s="7" r="Q2639"/>
      <c s="7" r="R2639">
        <f>IF((P2639&gt;0),O2639,0)</f>
        <v>0</v>
      </c>
      <c t="str" r="S2639">
        <f>CONCATENATE(F2639,E2639)</f>
        <v>NON FTLNON FTL</v>
      </c>
    </row>
    <row r="2640">
      <c t="s" s="7" r="A2640">
        <v>201</v>
      </c>
      <c s="7" r="B2640">
        <v>2667</v>
      </c>
      <c s="30" r="C2640">
        <v>39</v>
      </c>
      <c t="s" s="30" r="D2640">
        <v>147</v>
      </c>
      <c t="s" s="30" r="E2640">
        <v>4</v>
      </c>
      <c t="s" s="30" r="F2640">
        <v>4</v>
      </c>
      <c t="s" s="30" r="G2640">
        <v>295</v>
      </c>
      <c t="str" s="12" r="H2640">
        <f>HYPERLINK("http://sofifa.com/en/fifa13winter/player/149216-adam-smith","A. Smith")</f>
        <v>A. Smith</v>
      </c>
      <c s="30" r="I2640">
        <v>67</v>
      </c>
      <c t="s" s="30" r="J2640">
        <v>109</v>
      </c>
      <c t="s" s="30" r="K2640">
        <v>114</v>
      </c>
      <c t="s" s="30" r="L2640">
        <v>158</v>
      </c>
      <c s="30" r="M2640">
        <v>21</v>
      </c>
      <c s="26" r="N2640">
        <v>1.4</v>
      </c>
      <c s="23" r="O2640">
        <v>0.005</v>
      </c>
      <c s="7" r="P2640"/>
      <c s="7" r="Q2640"/>
      <c s="7" r="R2640">
        <f>IF((P2640&gt;0),O2640,0)</f>
        <v>0</v>
      </c>
      <c t="str" r="S2640">
        <f>CONCATENATE(F2640,E2640)</f>
        <v>NON FTLNON FTL</v>
      </c>
    </row>
    <row r="2641">
      <c t="s" s="7" r="A2641">
        <v>201</v>
      </c>
      <c s="7" r="B2641">
        <v>2668</v>
      </c>
      <c s="30" r="C2641">
        <v>62</v>
      </c>
      <c t="s" s="30" r="D2641">
        <v>147</v>
      </c>
      <c t="s" s="30" r="E2641">
        <v>4</v>
      </c>
      <c t="s" s="30" r="F2641">
        <v>4</v>
      </c>
      <c t="s" s="30" r="G2641">
        <v>295</v>
      </c>
      <c t="str" s="12" r="H2641">
        <f>HYPERLINK("http://sofifa.com/en/fifa13winter/player/149715-ezekiel-fryers","E. Fryers")</f>
        <v>E. Fryers</v>
      </c>
      <c s="30" r="I2641">
        <v>61</v>
      </c>
      <c t="s" s="30" r="J2641">
        <v>117</v>
      </c>
      <c t="s" s="30" r="K2641">
        <v>110</v>
      </c>
      <c t="s" s="30" r="L2641">
        <v>151</v>
      </c>
      <c s="30" r="M2641">
        <v>19</v>
      </c>
      <c s="26" r="N2641">
        <v>0.6</v>
      </c>
      <c s="23" r="O2641">
        <v>0.003</v>
      </c>
      <c s="7" r="P2641"/>
      <c s="7" r="Q2641"/>
      <c s="7" r="R2641">
        <f>IF((P2641&gt;0),O2641,0)</f>
        <v>0</v>
      </c>
      <c t="str" r="S2641">
        <f>CONCATENATE(F2641,E2641)</f>
        <v>NON FTLNON FTL</v>
      </c>
    </row>
    <row r="2642">
      <c t="s" s="7" r="A2642">
        <v>201</v>
      </c>
      <c s="7" r="B2642">
        <v>2669</v>
      </c>
      <c s="30" r="C2642">
        <v>44</v>
      </c>
      <c t="s" s="30" r="D2642">
        <v>147</v>
      </c>
      <c t="s" s="30" r="E2642">
        <v>4</v>
      </c>
      <c t="s" s="30" r="F2642">
        <v>4</v>
      </c>
      <c t="s" s="30" r="G2642">
        <v>295</v>
      </c>
      <c t="str" s="12" r="H2642">
        <f>HYPERLINK("http://sofifa.com/en/fifa13winter/player/149800-cristian-ceballos-prieto","Cristian Ceballos")</f>
        <v>Cristian Ceballos</v>
      </c>
      <c s="30" r="I2642">
        <v>62</v>
      </c>
      <c t="s" s="30" r="J2642">
        <v>171</v>
      </c>
      <c t="s" s="30" r="K2642">
        <v>130</v>
      </c>
      <c t="s" s="30" r="L2642">
        <v>163</v>
      </c>
      <c s="30" r="M2642">
        <v>19</v>
      </c>
      <c s="26" r="N2642">
        <v>0.9</v>
      </c>
      <c s="23" r="O2642">
        <v>0.003</v>
      </c>
      <c s="7" r="P2642"/>
      <c s="7" r="Q2642"/>
      <c s="7" r="R2642">
        <f>IF((P2642&gt;0),O2642,0)</f>
        <v>0</v>
      </c>
      <c t="str" r="S2642">
        <f>CONCATENATE(F2642,E2642)</f>
        <v>NON FTLNON FTL</v>
      </c>
    </row>
    <row r="2643">
      <c t="s" s="7" r="A2643">
        <v>201</v>
      </c>
      <c s="7" r="B2643">
        <v>2670</v>
      </c>
      <c s="30" r="C2643">
        <v>57</v>
      </c>
      <c t="s" s="30" r="D2643">
        <v>147</v>
      </c>
      <c t="s" s="30" r="E2643">
        <v>4</v>
      </c>
      <c t="s" s="30" r="F2643">
        <v>4</v>
      </c>
      <c t="s" s="30" r="G2643">
        <v>295</v>
      </c>
      <c t="str" s="12" r="H2643">
        <f>HYPERLINK("http://sofifa.com/en/fifa13winter/player/149930-jordan-archer","J. Archer")</f>
        <v>J. Archer</v>
      </c>
      <c s="30" r="I2643">
        <v>57</v>
      </c>
      <c t="s" s="30" r="J2643">
        <v>106</v>
      </c>
      <c t="s" s="30" r="K2643">
        <v>114</v>
      </c>
      <c t="s" s="30" r="L2643">
        <v>142</v>
      </c>
      <c s="30" r="M2643">
        <v>19</v>
      </c>
      <c s="26" r="N2643">
        <v>0.2</v>
      </c>
      <c s="23" r="O2643">
        <v>0.002</v>
      </c>
      <c s="7" r="P2643"/>
      <c s="7" r="Q2643"/>
      <c s="7" r="R2643">
        <f>IF((P2643&gt;0),O2643,0)</f>
        <v>0</v>
      </c>
      <c t="str" r="S2643">
        <f>CONCATENATE(F2643,E2643)</f>
        <v>NON FTLNON FTL</v>
      </c>
    </row>
    <row r="2644">
      <c t="s" s="7" r="A2644">
        <v>201</v>
      </c>
      <c s="7" r="B2644">
        <v>2671</v>
      </c>
      <c s="30" r="C2644">
        <v>54</v>
      </c>
      <c t="s" s="30" r="D2644">
        <v>147</v>
      </c>
      <c t="s" s="30" r="E2644">
        <v>4</v>
      </c>
      <c t="s" s="30" r="F2644">
        <v>4</v>
      </c>
      <c t="s" s="30" r="G2644">
        <v>295</v>
      </c>
      <c t="str" s="12" r="H2644">
        <f>HYPERLINK("http://sofifa.com/en/fifa13winter/player/149951-alex-pritchard","A. Pritchard")</f>
        <v>A. Pritchard</v>
      </c>
      <c s="30" r="I2644">
        <v>64</v>
      </c>
      <c t="s" s="30" r="J2644">
        <v>128</v>
      </c>
      <c t="s" s="30" r="K2644">
        <v>195</v>
      </c>
      <c t="s" s="30" r="L2644">
        <v>164</v>
      </c>
      <c s="30" r="M2644">
        <v>19</v>
      </c>
      <c s="26" r="N2644">
        <v>1</v>
      </c>
      <c s="23" r="O2644">
        <v>0.004</v>
      </c>
      <c s="7" r="P2644"/>
      <c s="7" r="Q2644"/>
      <c s="7" r="R2644">
        <f>IF((P2644&gt;0),O2644,0)</f>
        <v>0</v>
      </c>
      <c t="str" r="S2644">
        <f>CONCATENATE(F2644,E2644)</f>
        <v>NON FTLNON FTL</v>
      </c>
    </row>
    <row r="2645">
      <c t="s" s="7" r="A2645">
        <v>201</v>
      </c>
      <c s="7" r="B2645">
        <v>2672</v>
      </c>
      <c s="30" r="C2645">
        <v>64</v>
      </c>
      <c t="s" s="30" r="D2645">
        <v>147</v>
      </c>
      <c t="s" s="30" r="E2645">
        <v>4</v>
      </c>
      <c t="s" s="30" r="F2645">
        <v>4</v>
      </c>
      <c t="s" s="30" r="G2645">
        <v>295</v>
      </c>
      <c t="str" s="12" r="H2645">
        <f>HYPERLINK("http://sofifa.com/en/fifa13winter/player/147971-simon-dawkins","S. Dawkins")</f>
        <v>S. Dawkins</v>
      </c>
      <c s="30" r="I2645">
        <v>64</v>
      </c>
      <c t="s" s="30" r="J2645">
        <v>128</v>
      </c>
      <c t="s" s="30" r="K2645">
        <v>118</v>
      </c>
      <c t="s" s="30" r="L2645">
        <v>146</v>
      </c>
      <c s="30" r="M2645">
        <v>24</v>
      </c>
      <c s="26" r="N2645">
        <v>0.9</v>
      </c>
      <c s="23" r="O2645">
        <v>0.004</v>
      </c>
      <c s="7" r="P2645"/>
      <c s="7" r="Q2645"/>
      <c s="7" r="R2645">
        <f>IF((P2645&gt;0),O2645,0)</f>
        <v>0</v>
      </c>
      <c t="str" r="S2645">
        <f>CONCATENATE(F2645,E2645)</f>
        <v>NON FTLNON FTL</v>
      </c>
    </row>
    <row r="2646">
      <c t="s" s="7" r="A2646">
        <v>201</v>
      </c>
      <c s="7" r="B2646">
        <v>2673</v>
      </c>
      <c s="30" r="C2646">
        <v>37</v>
      </c>
      <c t="s" s="30" r="D2646">
        <v>147</v>
      </c>
      <c t="s" s="30" r="E2646">
        <v>4</v>
      </c>
      <c t="s" s="30" r="F2646">
        <v>4</v>
      </c>
      <c t="s" s="30" r="G2646">
        <v>295</v>
      </c>
      <c t="str" s="12" r="H2646">
        <f>HYPERLINK("http://sofifa.com/en/fifa13winter/player/150037-harry-kane","H. Kane")</f>
        <v>H. Kane</v>
      </c>
      <c s="30" r="I2646">
        <v>67</v>
      </c>
      <c t="s" s="30" r="J2646">
        <v>171</v>
      </c>
      <c t="s" s="30" r="K2646">
        <v>110</v>
      </c>
      <c t="s" s="30" r="L2646">
        <v>149</v>
      </c>
      <c s="30" r="M2646">
        <v>19</v>
      </c>
      <c s="26" r="N2646">
        <v>1.9</v>
      </c>
      <c s="23" r="O2646">
        <v>0.004</v>
      </c>
      <c s="7" r="P2646"/>
      <c s="7" r="Q2646"/>
      <c s="7" r="R2646">
        <f>IF((P2646&gt;0),O2646,0)</f>
        <v>0</v>
      </c>
      <c t="str" r="S2646">
        <f>CONCATENATE(F2646,E2646)</f>
        <v>NON FTLNON FTL</v>
      </c>
    </row>
    <row r="2647">
      <c t="s" s="7" r="A2647">
        <v>201</v>
      </c>
      <c s="7" r="B2647">
        <v>2674</v>
      </c>
      <c s="30" r="C2647">
        <v>3</v>
      </c>
      <c t="s" s="30" r="D2647">
        <v>147</v>
      </c>
      <c t="s" s="30" r="E2647">
        <v>4</v>
      </c>
      <c t="s" s="30" r="F2647">
        <v>4</v>
      </c>
      <c t="s" s="30" r="G2647">
        <v>295</v>
      </c>
      <c t="str" s="12" r="H2647">
        <f>HYPERLINK("http://sofifa.com/en/fifa13winter/player/148915-danny-rose","D. Rose")</f>
        <v>D. Rose</v>
      </c>
      <c s="30" r="I2647">
        <v>72</v>
      </c>
      <c t="s" s="30" r="J2647">
        <v>117</v>
      </c>
      <c t="s" s="30" r="K2647">
        <v>130</v>
      </c>
      <c t="s" s="30" r="L2647">
        <v>146</v>
      </c>
      <c s="30" r="M2647">
        <v>22</v>
      </c>
      <c s="26" r="N2647">
        <v>2.6</v>
      </c>
      <c s="23" r="O2647">
        <v>0.008</v>
      </c>
      <c s="7" r="P2647"/>
      <c s="7" r="Q2647"/>
      <c s="7" r="R2647">
        <f>IF((P2647&gt;0),O2647,0)</f>
        <v>0</v>
      </c>
      <c t="str" r="S2647">
        <f>CONCATENATE(F2647,E2647)</f>
        <v>NON FTLNON FTL</v>
      </c>
    </row>
    <row r="2648">
      <c t="s" s="7" r="A2648">
        <v>201</v>
      </c>
      <c s="7" r="B2648">
        <v>2675</v>
      </c>
      <c s="30" r="C2648">
        <v>45</v>
      </c>
      <c t="s" s="30" r="D2648">
        <v>147</v>
      </c>
      <c t="s" s="30" r="E2648">
        <v>4</v>
      </c>
      <c t="s" s="30" r="F2648">
        <v>4</v>
      </c>
      <c t="s" s="30" r="G2648">
        <v>295</v>
      </c>
      <c t="str" s="12" r="H2648">
        <f>HYPERLINK("http://sofifa.com/en/fifa13winter/player/148987-jonathan-obika","J. Obika")</f>
        <v>J. Obika</v>
      </c>
      <c s="30" r="I2648">
        <v>63</v>
      </c>
      <c t="s" s="30" r="J2648">
        <v>129</v>
      </c>
      <c t="s" s="30" r="K2648">
        <v>110</v>
      </c>
      <c t="s" s="30" r="L2648">
        <v>138</v>
      </c>
      <c s="30" r="M2648">
        <v>21</v>
      </c>
      <c s="26" r="N2648">
        <v>1</v>
      </c>
      <c s="23" r="O2648">
        <v>0.004</v>
      </c>
      <c s="7" r="P2648"/>
      <c s="7" r="Q2648"/>
      <c s="7" r="R2648">
        <f>IF((P2648&gt;0),O2648,0)</f>
        <v>0</v>
      </c>
      <c t="str" r="S2648">
        <f>CONCATENATE(F2648,E2648)</f>
        <v>NON FTLNON FTL</v>
      </c>
    </row>
    <row r="2649">
      <c t="s" s="7" r="A2649">
        <v>201</v>
      </c>
      <c s="7" r="B2649">
        <v>2676</v>
      </c>
      <c s="30" r="C2649">
        <v>42</v>
      </c>
      <c t="s" s="30" r="D2649">
        <v>147</v>
      </c>
      <c t="s" s="30" r="E2649">
        <v>4</v>
      </c>
      <c t="s" s="30" r="F2649">
        <v>4</v>
      </c>
      <c t="s" s="30" r="G2649">
        <v>295</v>
      </c>
      <c t="str" s="12" r="H2649">
        <f>HYPERLINK("http://sofifa.com/en/fifa13winter/player/150521-nabil-bentaleb","N. Bentaleb")</f>
        <v>N. Bentaleb</v>
      </c>
      <c s="30" r="I2649">
        <v>61</v>
      </c>
      <c t="s" s="30" r="J2649">
        <v>124</v>
      </c>
      <c t="s" s="30" r="K2649">
        <v>155</v>
      </c>
      <c t="s" s="30" r="L2649">
        <v>115</v>
      </c>
      <c s="30" r="M2649">
        <v>17</v>
      </c>
      <c s="26" r="N2649">
        <v>0.7</v>
      </c>
      <c s="23" r="O2649">
        <v>0.003</v>
      </c>
      <c s="7" r="P2649"/>
      <c s="7" r="Q2649"/>
      <c s="7" r="R2649">
        <f>IF((P2649&gt;0),O2649,0)</f>
        <v>0</v>
      </c>
      <c t="str" r="S2649">
        <f>CONCATENATE(F2649,E2649)</f>
        <v>NON FTLNON FTL</v>
      </c>
    </row>
    <row r="2650">
      <c t="s" s="7" r="A2650">
        <v>201</v>
      </c>
      <c s="7" r="B2650">
        <v>2677</v>
      </c>
      <c s="30" r="C2650">
        <v>1</v>
      </c>
      <c t="s" s="30" r="D2650">
        <v>106</v>
      </c>
      <c t="s" s="30" r="E2650">
        <v>4</v>
      </c>
      <c t="s" s="30" r="F2650">
        <v>4</v>
      </c>
      <c t="s" s="30" r="G2650">
        <v>296</v>
      </c>
      <c t="str" s="12" r="H2650">
        <f>HYPERLINK("http://sofifa.com/en/fifa13winter/player/145298-roman-weidenfeller","R. Weidenfeller")</f>
        <v>R. Weidenfeller</v>
      </c>
      <c s="30" r="I2650">
        <v>82</v>
      </c>
      <c t="s" s="30" r="J2650">
        <v>106</v>
      </c>
      <c t="s" s="30" r="K2650">
        <v>134</v>
      </c>
      <c t="s" s="30" r="L2650">
        <v>179</v>
      </c>
      <c s="30" r="M2650">
        <v>32</v>
      </c>
      <c s="26" r="N2650">
        <v>8.4</v>
      </c>
      <c s="23" r="O2650">
        <v>0.064</v>
      </c>
      <c s="7" r="P2650"/>
      <c s="7" r="Q2650"/>
      <c s="7" r="R2650">
        <f>IF((P2650&gt;0),O2650,0)</f>
        <v>0</v>
      </c>
      <c t="str" r="S2650">
        <f>CONCATENATE(F2650,E2650)</f>
        <v>NON FTLNON FTL</v>
      </c>
    </row>
    <row r="2651">
      <c t="s" s="7" r="A2651">
        <v>201</v>
      </c>
      <c s="7" r="B2651">
        <v>2678</v>
      </c>
      <c s="30" r="C2651">
        <v>26</v>
      </c>
      <c t="s" s="30" r="D2651">
        <v>109</v>
      </c>
      <c t="s" s="30" r="E2651">
        <v>4</v>
      </c>
      <c t="s" s="30" r="F2651">
        <v>4</v>
      </c>
      <c t="s" s="30" r="G2651">
        <v>296</v>
      </c>
      <c t="str" s="12" r="H2651">
        <f>HYPERLINK("http://sofifa.com/en/fifa13winter/player/147060-lukasz-piszczek","L. Piszczek")</f>
        <v>L. Piszczek</v>
      </c>
      <c s="30" r="I2651">
        <v>82</v>
      </c>
      <c t="s" s="30" r="J2651">
        <v>109</v>
      </c>
      <c t="s" s="30" r="K2651">
        <v>167</v>
      </c>
      <c t="s" s="30" r="L2651">
        <v>161</v>
      </c>
      <c s="30" r="M2651">
        <v>27</v>
      </c>
      <c s="26" r="N2651">
        <v>13.2</v>
      </c>
      <c s="23" r="O2651">
        <v>0.053</v>
      </c>
      <c s="7" r="P2651"/>
      <c s="7" r="Q2651"/>
      <c s="7" r="R2651">
        <f>IF((P2651&gt;0),O2651,0)</f>
        <v>0</v>
      </c>
      <c t="str" r="S2651">
        <f>CONCATENATE(F2651,E2651)</f>
        <v>NON FTLNON FTL</v>
      </c>
    </row>
    <row r="2652">
      <c t="s" s="7" r="A2652">
        <v>201</v>
      </c>
      <c s="7" r="B2652">
        <v>2679</v>
      </c>
      <c s="30" r="C2652">
        <v>4</v>
      </c>
      <c t="s" s="30" r="D2652">
        <v>112</v>
      </c>
      <c t="s" s="30" r="E2652">
        <v>4</v>
      </c>
      <c t="s" s="30" r="F2652">
        <v>4</v>
      </c>
      <c t="s" s="30" r="G2652">
        <v>296</v>
      </c>
      <c t="str" s="12" r="H2652">
        <f>HYPERLINK("http://sofifa.com/en/fifa13winter/player/148346-neven-subotic","N. Subotić")</f>
        <v>N. Subotić</v>
      </c>
      <c s="30" r="I2652">
        <v>82</v>
      </c>
      <c t="s" s="30" r="J2652">
        <v>113</v>
      </c>
      <c t="s" s="30" r="K2652">
        <v>107</v>
      </c>
      <c t="s" s="30" r="L2652">
        <v>175</v>
      </c>
      <c s="30" r="M2652">
        <v>23</v>
      </c>
      <c s="26" r="N2652">
        <v>14.9</v>
      </c>
      <c s="23" r="O2652">
        <v>0.051</v>
      </c>
      <c s="7" r="P2652"/>
      <c s="7" r="Q2652"/>
      <c s="7" r="R2652">
        <f>IF((P2652&gt;0),O2652,0)</f>
        <v>0</v>
      </c>
      <c t="str" r="S2652">
        <f>CONCATENATE(F2652,E2652)</f>
        <v>NON FTLNON FTL</v>
      </c>
    </row>
    <row r="2653">
      <c t="s" s="7" r="A2653">
        <v>201</v>
      </c>
      <c s="7" r="B2653">
        <v>2680</v>
      </c>
      <c s="30" r="C2653">
        <v>15</v>
      </c>
      <c t="s" s="30" r="D2653">
        <v>116</v>
      </c>
      <c t="s" s="30" r="E2653">
        <v>4</v>
      </c>
      <c t="s" s="30" r="F2653">
        <v>4</v>
      </c>
      <c t="s" s="30" r="G2653">
        <v>296</v>
      </c>
      <c t="str" s="12" r="H2653">
        <f>HYPERLINK("http://sofifa.com/en/fifa13winter/player/148352-mats-hummels","M. Hummels")</f>
        <v>M. Hummels</v>
      </c>
      <c s="30" r="I2653">
        <v>85</v>
      </c>
      <c t="s" s="30" r="J2653">
        <v>113</v>
      </c>
      <c t="s" s="30" r="K2653">
        <v>165</v>
      </c>
      <c t="s" s="30" r="L2653">
        <v>178</v>
      </c>
      <c s="30" r="M2653">
        <v>23</v>
      </c>
      <c s="26" r="N2653">
        <v>24.4</v>
      </c>
      <c s="23" r="O2653">
        <v>0.096</v>
      </c>
      <c s="7" r="P2653"/>
      <c s="7" r="Q2653"/>
      <c s="7" r="R2653">
        <f>IF((P2653&gt;0),O2653,0)</f>
        <v>0</v>
      </c>
      <c t="str" r="S2653">
        <f>CONCATENATE(F2653,E2653)</f>
        <v>NON FTLNON FTL</v>
      </c>
    </row>
    <row r="2654">
      <c t="s" s="7" r="A2654">
        <v>201</v>
      </c>
      <c s="7" r="B2654">
        <v>2681</v>
      </c>
      <c s="30" r="C2654">
        <v>29</v>
      </c>
      <c t="s" s="30" r="D2654">
        <v>117</v>
      </c>
      <c t="s" s="30" r="E2654">
        <v>4</v>
      </c>
      <c t="s" s="30" r="F2654">
        <v>4</v>
      </c>
      <c t="s" s="30" r="G2654">
        <v>296</v>
      </c>
      <c t="str" s="12" r="H2654">
        <f>HYPERLINK("http://sofifa.com/en/fifa13winter/player/148023-marcel-schmelzer","M. Schmelzer")</f>
        <v>M. Schmelzer</v>
      </c>
      <c s="30" r="I2654">
        <v>78</v>
      </c>
      <c t="s" s="30" r="J2654">
        <v>117</v>
      </c>
      <c t="s" s="30" r="K2654">
        <v>150</v>
      </c>
      <c t="s" s="30" r="L2654">
        <v>160</v>
      </c>
      <c s="30" r="M2654">
        <v>24</v>
      </c>
      <c s="26" r="N2654">
        <v>6.2</v>
      </c>
      <c s="23" r="O2654">
        <v>0.019</v>
      </c>
      <c s="7" r="P2654"/>
      <c s="7" r="Q2654"/>
      <c s="7" r="R2654">
        <f>IF((P2654&gt;0),O2654,0)</f>
        <v>0</v>
      </c>
      <c t="str" r="S2654">
        <f>CONCATENATE(F2654,E2654)</f>
        <v>NON FTLNON FTL</v>
      </c>
    </row>
    <row r="2655">
      <c t="s" s="7" r="A2655">
        <v>201</v>
      </c>
      <c s="7" r="B2655">
        <v>2682</v>
      </c>
      <c s="30" r="C2655">
        <v>8</v>
      </c>
      <c t="s" s="30" r="D2655">
        <v>186</v>
      </c>
      <c t="s" s="30" r="E2655">
        <v>4</v>
      </c>
      <c t="s" s="30" r="F2655">
        <v>4</v>
      </c>
      <c t="s" s="30" r="G2655">
        <v>296</v>
      </c>
      <c t="str" s="12" r="H2655">
        <f>HYPERLINK("http://sofifa.com/en/fifa13winter/player/149029-ilkay-gundogan","I. Gündoğan")</f>
        <v>I. Gündoğan</v>
      </c>
      <c s="30" r="I2655">
        <v>82</v>
      </c>
      <c t="s" s="30" r="J2655">
        <v>124</v>
      </c>
      <c t="s" s="30" r="K2655">
        <v>114</v>
      </c>
      <c t="s" s="30" r="L2655">
        <v>158</v>
      </c>
      <c s="30" r="M2655">
        <v>21</v>
      </c>
      <c s="26" r="N2655">
        <v>17.5</v>
      </c>
      <c s="23" r="O2655">
        <v>0.047</v>
      </c>
      <c s="7" r="P2655"/>
      <c s="7" r="Q2655"/>
      <c s="7" r="R2655">
        <f>IF((P2655&gt;0),O2655,0)</f>
        <v>0</v>
      </c>
      <c t="str" r="S2655">
        <f>CONCATENATE(F2655,E2655)</f>
        <v>NON FTLNON FTL</v>
      </c>
    </row>
    <row r="2656">
      <c t="s" s="7" r="A2656">
        <v>201</v>
      </c>
      <c s="7" r="B2656">
        <v>2683</v>
      </c>
      <c s="30" r="C2656">
        <v>6</v>
      </c>
      <c t="s" s="30" r="D2656">
        <v>174</v>
      </c>
      <c t="s" s="30" r="E2656">
        <v>4</v>
      </c>
      <c t="s" s="30" r="F2656">
        <v>4</v>
      </c>
      <c t="s" s="30" r="G2656">
        <v>296</v>
      </c>
      <c t="str" s="12" r="H2656">
        <f>HYPERLINK("http://sofifa.com/en/fifa13winter/player/148484-sven-bender","S. Bender")</f>
        <v>S. Bender</v>
      </c>
      <c s="30" r="I2656">
        <v>81</v>
      </c>
      <c t="s" s="30" r="J2656">
        <v>154</v>
      </c>
      <c t="s" s="30" r="K2656">
        <v>132</v>
      </c>
      <c t="s" s="30" r="L2656">
        <v>138</v>
      </c>
      <c s="30" r="M2656">
        <v>23</v>
      </c>
      <c s="26" r="N2656">
        <v>13.7</v>
      </c>
      <c s="23" r="O2656">
        <v>0.038</v>
      </c>
      <c s="7" r="P2656"/>
      <c s="7" r="Q2656"/>
      <c s="7" r="R2656">
        <f>IF((P2656&gt;0),O2656,0)</f>
        <v>0</v>
      </c>
      <c t="str" r="S2656">
        <f>CONCATENATE(F2656,E2656)</f>
        <v>NON FTLNON FTL</v>
      </c>
    </row>
    <row r="2657">
      <c t="s" s="7" r="A2657">
        <v>201</v>
      </c>
      <c s="7" r="B2657">
        <v>2684</v>
      </c>
      <c s="30" r="C2657">
        <v>16</v>
      </c>
      <c t="s" s="30" r="D2657">
        <v>120</v>
      </c>
      <c t="s" s="30" r="E2657">
        <v>4</v>
      </c>
      <c t="s" s="30" r="F2657">
        <v>4</v>
      </c>
      <c t="s" s="30" r="G2657">
        <v>296</v>
      </c>
      <c t="str" s="12" r="H2657">
        <f>HYPERLINK("http://sofifa.com/en/fifa13winter/player/147254-jakub-blaszczykowski","J. Błaszczykowski")</f>
        <v>J. Błaszczykowski</v>
      </c>
      <c s="30" r="I2657">
        <v>81</v>
      </c>
      <c t="s" s="30" r="J2657">
        <v>120</v>
      </c>
      <c t="s" s="30" r="K2657">
        <v>139</v>
      </c>
      <c t="s" s="30" r="L2657">
        <v>142</v>
      </c>
      <c s="30" r="M2657">
        <v>26</v>
      </c>
      <c s="26" r="N2657">
        <v>13.1</v>
      </c>
      <c s="23" r="O2657">
        <v>0.04</v>
      </c>
      <c s="7" r="P2657"/>
      <c s="7" r="Q2657"/>
      <c s="7" r="R2657">
        <f>IF((P2657&gt;0),O2657,0)</f>
        <v>0</v>
      </c>
      <c t="str" r="S2657">
        <f>CONCATENATE(F2657,E2657)</f>
        <v>NON FTLNON FTL</v>
      </c>
    </row>
    <row r="2658">
      <c t="s" s="7" r="A2658">
        <v>201</v>
      </c>
      <c s="7" r="B2658">
        <v>2685</v>
      </c>
      <c s="30" r="C2658">
        <v>11</v>
      </c>
      <c t="s" s="30" r="D2658">
        <v>128</v>
      </c>
      <c t="s" s="30" r="E2658">
        <v>4</v>
      </c>
      <c t="s" s="30" r="F2658">
        <v>4</v>
      </c>
      <c t="s" s="30" r="G2658">
        <v>296</v>
      </c>
      <c t="str" s="12" r="H2658">
        <f>HYPERLINK("http://sofifa.com/en/fifa13winter/player/148518-marco-reus","M. Reus")</f>
        <v>M. Reus</v>
      </c>
      <c s="30" r="I2658">
        <v>84</v>
      </c>
      <c t="s" s="30" r="J2658">
        <v>128</v>
      </c>
      <c t="s" s="30" r="K2658">
        <v>150</v>
      </c>
      <c t="s" s="30" r="L2658">
        <v>119</v>
      </c>
      <c s="30" r="M2658">
        <v>23</v>
      </c>
      <c s="26" r="N2658">
        <v>26</v>
      </c>
      <c s="23" r="O2658">
        <v>0.08</v>
      </c>
      <c s="7" r="P2658"/>
      <c s="7" r="Q2658"/>
      <c s="7" r="R2658">
        <f>IF((P2658&gt;0),O2658,0)</f>
        <v>0</v>
      </c>
      <c t="str" r="S2658">
        <f>CONCATENATE(F2658,E2658)</f>
        <v>NON FTLNON FTL</v>
      </c>
    </row>
    <row r="2659">
      <c t="s" s="7" r="A2659">
        <v>201</v>
      </c>
      <c s="7" r="B2659">
        <v>2686</v>
      </c>
      <c s="30" r="C2659">
        <v>10</v>
      </c>
      <c t="s" s="30" r="D2659">
        <v>162</v>
      </c>
      <c t="s" s="30" r="E2659">
        <v>4</v>
      </c>
      <c t="s" s="30" r="F2659">
        <v>4</v>
      </c>
      <c t="s" s="30" r="G2659">
        <v>296</v>
      </c>
      <c t="str" s="12" r="H2659">
        <f>HYPERLINK("http://sofifa.com/en/fifa13winter/player/149617-mario-gotze","M. Götze")</f>
        <v>M. Götze</v>
      </c>
      <c s="30" r="I2659">
        <v>85</v>
      </c>
      <c t="s" s="30" r="J2659">
        <v>162</v>
      </c>
      <c t="s" s="30" r="K2659">
        <v>172</v>
      </c>
      <c t="s" s="30" r="L2659">
        <v>146</v>
      </c>
      <c s="30" r="M2659">
        <v>20</v>
      </c>
      <c s="26" r="N2659">
        <v>29.7</v>
      </c>
      <c s="23" r="O2659">
        <v>0.084</v>
      </c>
      <c s="7" r="P2659"/>
      <c s="7" r="Q2659"/>
      <c s="7" r="R2659">
        <f>IF((P2659&gt;0),O2659,0)</f>
        <v>0</v>
      </c>
      <c t="str" r="S2659">
        <f>CONCATENATE(F2659,E2659)</f>
        <v>NON FTLNON FTL</v>
      </c>
    </row>
    <row r="2660">
      <c t="s" s="7" r="A2660">
        <v>201</v>
      </c>
      <c s="7" r="B2660">
        <v>2687</v>
      </c>
      <c s="30" r="C2660">
        <v>9</v>
      </c>
      <c t="s" s="30" r="D2660">
        <v>129</v>
      </c>
      <c t="s" s="30" r="E2660">
        <v>4</v>
      </c>
      <c t="s" s="30" r="F2660">
        <v>4</v>
      </c>
      <c t="s" s="30" r="G2660">
        <v>296</v>
      </c>
      <c t="str" s="12" r="H2660">
        <f>HYPERLINK("http://sofifa.com/en/fifa13winter/player/148235-robert-lewandowski","R. Lewandowski")</f>
        <v>R. Lewandowski</v>
      </c>
      <c s="30" r="I2660">
        <v>85</v>
      </c>
      <c t="s" s="30" r="J2660">
        <v>129</v>
      </c>
      <c t="s" s="30" r="K2660">
        <v>167</v>
      </c>
      <c t="s" s="30" r="L2660">
        <v>161</v>
      </c>
      <c s="30" r="M2660">
        <v>24</v>
      </c>
      <c s="26" r="N2660">
        <v>25.1</v>
      </c>
      <c s="23" r="O2660">
        <v>0.1</v>
      </c>
      <c s="7" r="P2660"/>
      <c s="7" r="Q2660"/>
      <c s="7" r="R2660">
        <f>IF((P2660&gt;0),O2660,0)</f>
        <v>0</v>
      </c>
      <c t="str" r="S2660">
        <f>CONCATENATE(F2660,E2660)</f>
        <v>NON FTLNON FTL</v>
      </c>
    </row>
    <row r="2661">
      <c t="s" s="7" r="A2661">
        <v>201</v>
      </c>
      <c s="7" r="B2661">
        <v>2688</v>
      </c>
      <c s="30" r="C2661">
        <v>23</v>
      </c>
      <c t="s" s="30" r="D2661">
        <v>136</v>
      </c>
      <c t="s" s="30" r="E2661">
        <v>4</v>
      </c>
      <c t="s" s="30" r="F2661">
        <v>4</v>
      </c>
      <c t="s" s="30" r="G2661">
        <v>296</v>
      </c>
      <c t="str" s="12" r="H2661">
        <f>HYPERLINK("http://sofifa.com/en/fifa13winter/player/148411-julian-schieber","J. Schieber")</f>
        <v>J. Schieber</v>
      </c>
      <c s="30" r="I2661">
        <v>76</v>
      </c>
      <c t="s" s="30" r="J2661">
        <v>129</v>
      </c>
      <c t="s" s="30" r="K2661">
        <v>173</v>
      </c>
      <c t="s" s="30" r="L2661">
        <v>108</v>
      </c>
      <c s="30" r="M2661">
        <v>23</v>
      </c>
      <c s="26" r="N2661">
        <v>6.2</v>
      </c>
      <c s="23" r="O2661">
        <v>0.014</v>
      </c>
      <c s="7" r="P2661"/>
      <c s="7" r="Q2661"/>
      <c s="7" r="R2661">
        <f>IF((P2661&gt;0),O2661,0)</f>
        <v>0</v>
      </c>
      <c t="str" r="S2661">
        <f>CONCATENATE(F2661,E2661)</f>
        <v>NON FTLNON FTL</v>
      </c>
    </row>
    <row r="2662">
      <c t="s" s="7" r="A2662">
        <v>201</v>
      </c>
      <c s="7" r="B2662">
        <v>2689</v>
      </c>
      <c s="30" r="C2662">
        <v>18</v>
      </c>
      <c t="s" s="30" r="D2662">
        <v>136</v>
      </c>
      <c t="s" s="30" r="E2662">
        <v>4</v>
      </c>
      <c t="s" s="30" r="F2662">
        <v>4</v>
      </c>
      <c t="s" s="30" r="G2662">
        <v>296</v>
      </c>
      <c t="str" s="12" r="H2662">
        <f>HYPERLINK("http://sofifa.com/en/fifa13winter/player/148250-nuri-sahin","N. Şahin")</f>
        <v>N. Şahin</v>
      </c>
      <c s="30" r="I2662">
        <v>81</v>
      </c>
      <c t="s" s="30" r="J2662">
        <v>124</v>
      </c>
      <c t="s" s="30" r="K2662">
        <v>114</v>
      </c>
      <c t="s" s="30" r="L2662">
        <v>146</v>
      </c>
      <c s="30" r="M2662">
        <v>23</v>
      </c>
      <c s="26" r="N2662">
        <v>12</v>
      </c>
      <c s="23" r="O2662">
        <v>0.038</v>
      </c>
      <c s="7" r="P2662"/>
      <c s="7" r="Q2662"/>
      <c s="7" r="R2662">
        <f>IF((P2662&gt;0),O2662,0)</f>
        <v>0</v>
      </c>
      <c t="str" r="S2662">
        <f>CONCATENATE(F2662,E2662)</f>
        <v>NON FTLNON FTL</v>
      </c>
    </row>
    <row r="2663">
      <c t="s" s="7" r="A2663">
        <v>201</v>
      </c>
      <c s="7" r="B2663">
        <v>2690</v>
      </c>
      <c s="30" r="C2663">
        <v>28</v>
      </c>
      <c t="s" s="30" r="D2663">
        <v>136</v>
      </c>
      <c t="s" s="30" r="E2663">
        <v>4</v>
      </c>
      <c t="s" s="30" r="F2663">
        <v>4</v>
      </c>
      <c t="s" s="30" r="G2663">
        <v>296</v>
      </c>
      <c t="str" s="12" r="H2663">
        <f>HYPERLINK("http://sofifa.com/en/fifa13winter/player/149938-mustafa-amini","M. Amini")</f>
        <v>M. Amini</v>
      </c>
      <c s="30" r="I2663">
        <v>63</v>
      </c>
      <c t="s" s="30" r="J2663">
        <v>124</v>
      </c>
      <c t="s" s="30" r="K2663">
        <v>139</v>
      </c>
      <c t="s" s="30" r="L2663">
        <v>119</v>
      </c>
      <c s="30" r="M2663">
        <v>19</v>
      </c>
      <c s="26" r="N2663">
        <v>0.9</v>
      </c>
      <c s="23" r="O2663">
        <v>0.003</v>
      </c>
      <c s="7" r="P2663"/>
      <c s="7" r="Q2663"/>
      <c s="7" r="R2663">
        <f>IF((P2663&gt;0),O2663,0)</f>
        <v>0</v>
      </c>
      <c t="str" r="S2663">
        <f>CONCATENATE(F2663,E2663)</f>
        <v>NON FTLNON FTL</v>
      </c>
    </row>
    <row r="2664">
      <c t="s" s="7" r="A2664">
        <v>201</v>
      </c>
      <c s="7" r="B2664">
        <v>2691</v>
      </c>
      <c s="30" r="C2664">
        <v>7</v>
      </c>
      <c t="s" s="30" r="D2664">
        <v>136</v>
      </c>
      <c t="s" s="30" r="E2664">
        <v>4</v>
      </c>
      <c t="s" s="30" r="F2664">
        <v>4</v>
      </c>
      <c t="s" s="30" r="G2664">
        <v>296</v>
      </c>
      <c t="str" s="12" r="H2664">
        <f>HYPERLINK("http://sofifa.com/en/fifa13winter/player/149805-moritz-leitner","M. Leitner")</f>
        <v>M. Leitner</v>
      </c>
      <c s="30" r="I2664">
        <v>74</v>
      </c>
      <c t="s" s="30" r="J2664">
        <v>124</v>
      </c>
      <c t="s" s="30" r="K2664">
        <v>159</v>
      </c>
      <c t="s" s="30" r="L2664">
        <v>111</v>
      </c>
      <c s="30" r="M2664">
        <v>19</v>
      </c>
      <c s="26" r="N2664">
        <v>4</v>
      </c>
      <c s="23" r="O2664">
        <v>0.009</v>
      </c>
      <c s="7" r="P2664"/>
      <c s="7" r="Q2664"/>
      <c s="7" r="R2664">
        <f>IF((P2664&gt;0),O2664,0)</f>
        <v>0</v>
      </c>
      <c t="str" r="S2664">
        <f>CONCATENATE(F2664,E2664)</f>
        <v>NON FTLNON FTL</v>
      </c>
    </row>
    <row r="2665">
      <c t="s" s="7" r="A2665">
        <v>201</v>
      </c>
      <c s="7" r="B2665">
        <v>2692</v>
      </c>
      <c s="30" r="C2665">
        <v>32</v>
      </c>
      <c t="s" s="30" r="D2665">
        <v>136</v>
      </c>
      <c t="s" s="30" r="E2665">
        <v>4</v>
      </c>
      <c t="s" s="30" r="F2665">
        <v>4</v>
      </c>
      <c t="s" s="30" r="G2665">
        <v>296</v>
      </c>
      <c t="str" s="12" r="H2665">
        <f>HYPERLINK("http://sofifa.com/en/fifa13winter/player/150181-leonardo-bittencourt","L. Bittencourt")</f>
        <v>L. Bittencourt</v>
      </c>
      <c s="30" r="I2665">
        <v>69</v>
      </c>
      <c t="s" s="30" r="J2665">
        <v>162</v>
      </c>
      <c t="s" s="30" r="K2665">
        <v>195</v>
      </c>
      <c t="s" s="30" r="L2665">
        <v>164</v>
      </c>
      <c s="30" r="M2665">
        <v>18</v>
      </c>
      <c s="26" r="N2665">
        <v>2.4</v>
      </c>
      <c s="23" r="O2665">
        <v>0.005</v>
      </c>
      <c s="7" r="P2665"/>
      <c s="7" r="Q2665"/>
      <c s="7" r="R2665">
        <f>IF((P2665&gt;0),O2665,0)</f>
        <v>0</v>
      </c>
      <c t="str" r="S2665">
        <f>CONCATENATE(F2665,E2665)</f>
        <v>NON FTLNON FTL</v>
      </c>
    </row>
    <row r="2666">
      <c t="s" s="7" r="A2666">
        <v>201</v>
      </c>
      <c s="7" r="B2666">
        <v>2693</v>
      </c>
      <c s="30" r="C2666">
        <v>38</v>
      </c>
      <c t="s" s="30" r="D2666">
        <v>136</v>
      </c>
      <c t="s" s="30" r="E2666">
        <v>4</v>
      </c>
      <c t="s" s="30" r="F2666">
        <v>4</v>
      </c>
      <c t="s" s="30" r="G2666">
        <v>296</v>
      </c>
      <c t="str" s="12" r="H2666">
        <f>HYPERLINK("http://sofifa.com/en/fifa13winter/player/149054-balint-bajner","B. Bajner")</f>
        <v>B. Bajner</v>
      </c>
      <c s="30" r="I2666">
        <v>62</v>
      </c>
      <c t="s" s="30" r="J2666">
        <v>129</v>
      </c>
      <c t="s" s="30" r="K2666">
        <v>176</v>
      </c>
      <c t="s" s="30" r="L2666">
        <v>175</v>
      </c>
      <c s="30" r="M2666">
        <v>21</v>
      </c>
      <c s="26" r="N2666">
        <v>0.9</v>
      </c>
      <c s="23" r="O2666">
        <v>0.003</v>
      </c>
      <c s="7" r="P2666"/>
      <c s="7" r="Q2666"/>
      <c s="7" r="R2666">
        <f>IF((P2666&gt;0),O2666,0)</f>
        <v>0</v>
      </c>
      <c t="str" r="S2666">
        <f>CONCATENATE(F2666,E2666)</f>
        <v>NON FTLNON FTL</v>
      </c>
    </row>
    <row r="2667">
      <c t="s" s="7" r="A2667">
        <v>201</v>
      </c>
      <c s="7" r="B2667">
        <v>2694</v>
      </c>
      <c s="30" r="C2667">
        <v>5</v>
      </c>
      <c t="s" s="30" r="D2667">
        <v>136</v>
      </c>
      <c t="s" s="30" r="E2667">
        <v>4</v>
      </c>
      <c t="s" s="30" r="F2667">
        <v>4</v>
      </c>
      <c t="s" s="30" r="G2667">
        <v>296</v>
      </c>
      <c t="str" s="12" r="H2667">
        <f>HYPERLINK("http://sofifa.com/en/fifa13winter/player/145123-sebastian-kehl","S. Kehl")</f>
        <v>S. Kehl</v>
      </c>
      <c s="30" r="I2667">
        <v>79</v>
      </c>
      <c t="s" s="30" r="J2667">
        <v>154</v>
      </c>
      <c t="s" s="30" r="K2667">
        <v>134</v>
      </c>
      <c t="s" s="30" r="L2667">
        <v>153</v>
      </c>
      <c s="30" r="M2667">
        <v>32</v>
      </c>
      <c s="26" r="N2667">
        <v>5.4</v>
      </c>
      <c s="23" r="O2667">
        <v>0.026</v>
      </c>
      <c s="7" r="P2667"/>
      <c s="7" r="Q2667"/>
      <c s="7" r="R2667">
        <f>IF((P2667&gt;0),O2667,0)</f>
        <v>0</v>
      </c>
      <c t="str" r="S2667">
        <f>CONCATENATE(F2667,E2667)</f>
        <v>NON FTLNON FTL</v>
      </c>
    </row>
    <row r="2668">
      <c t="s" s="7" r="A2668">
        <v>201</v>
      </c>
      <c s="7" r="B2668">
        <v>2695</v>
      </c>
      <c s="30" r="C2668">
        <v>27</v>
      </c>
      <c t="s" s="30" r="D2668">
        <v>136</v>
      </c>
      <c t="s" s="30" r="E2668">
        <v>4</v>
      </c>
      <c t="s" s="30" r="F2668">
        <v>4</v>
      </c>
      <c t="s" s="30" r="G2668">
        <v>296</v>
      </c>
      <c t="str" s="12" r="H2668">
        <f>HYPERLINK("http://sofifa.com/en/fifa13winter/player/147347-felipe-augusto-santana","Felipe Santana")</f>
        <v>Felipe Santana</v>
      </c>
      <c s="30" r="I2668">
        <v>77</v>
      </c>
      <c t="s" s="30" r="J2668">
        <v>113</v>
      </c>
      <c t="s" s="30" r="K2668">
        <v>188</v>
      </c>
      <c t="s" s="30" r="L2668">
        <v>153</v>
      </c>
      <c s="30" r="M2668">
        <v>26</v>
      </c>
      <c s="26" r="N2668">
        <v>5.5</v>
      </c>
      <c s="23" r="O2668">
        <v>0.017</v>
      </c>
      <c s="7" r="P2668"/>
      <c s="7" r="Q2668"/>
      <c s="7" r="R2668">
        <f>IF((P2668&gt;0),O2668,0)</f>
        <v>0</v>
      </c>
      <c t="str" r="S2668">
        <f>CONCATENATE(F2668,E2668)</f>
        <v>NON FTLNON FTL</v>
      </c>
    </row>
    <row r="2669">
      <c t="s" s="7" r="A2669">
        <v>201</v>
      </c>
      <c s="7" r="B2669">
        <v>2696</v>
      </c>
      <c s="30" r="C2669">
        <v>21</v>
      </c>
      <c t="s" s="30" r="D2669">
        <v>136</v>
      </c>
      <c t="s" s="30" r="E2669">
        <v>4</v>
      </c>
      <c t="s" s="30" r="F2669">
        <v>4</v>
      </c>
      <c t="s" s="30" r="G2669">
        <v>296</v>
      </c>
      <c t="str" s="12" r="H2669">
        <f>HYPERLINK("http://sofifa.com/en/fifa13winter/player/146043-oliver-kirch","O. Kirch")</f>
        <v>O. Kirch</v>
      </c>
      <c s="30" r="I2669">
        <v>68</v>
      </c>
      <c t="s" s="30" r="J2669">
        <v>109</v>
      </c>
      <c t="s" s="30" r="K2669">
        <v>110</v>
      </c>
      <c t="s" s="30" r="L2669">
        <v>122</v>
      </c>
      <c s="30" r="M2669">
        <v>30</v>
      </c>
      <c s="26" r="N2669">
        <v>1.2</v>
      </c>
      <c s="23" r="O2669">
        <v>0.007</v>
      </c>
      <c s="7" r="P2669"/>
      <c s="7" r="Q2669"/>
      <c s="7" r="R2669">
        <f>IF((P2669&gt;0),O2669,0)</f>
        <v>0</v>
      </c>
      <c t="str" r="S2669">
        <f>CONCATENATE(F2669,E2669)</f>
        <v>NON FTLNON FTL</v>
      </c>
    </row>
    <row r="2670">
      <c t="s" s="7" r="A2670">
        <v>201</v>
      </c>
      <c s="7" r="B2670">
        <v>2697</v>
      </c>
      <c s="30" r="C2670">
        <v>20</v>
      </c>
      <c t="s" s="30" r="D2670">
        <v>136</v>
      </c>
      <c t="s" s="30" r="E2670">
        <v>4</v>
      </c>
      <c t="s" s="30" r="F2670">
        <v>4</v>
      </c>
      <c t="s" s="30" r="G2670">
        <v>296</v>
      </c>
      <c t="str" s="12" r="H2670">
        <f>HYPERLINK("http://sofifa.com/en/fifa13winter/player/148236-mitchell-langerak","M. Langerak")</f>
        <v>M. Langerak</v>
      </c>
      <c s="30" r="I2670">
        <v>69</v>
      </c>
      <c t="s" s="30" r="J2670">
        <v>106</v>
      </c>
      <c t="s" s="30" r="K2670">
        <v>165</v>
      </c>
      <c t="s" s="30" r="L2670">
        <v>183</v>
      </c>
      <c s="30" r="M2670">
        <v>24</v>
      </c>
      <c s="26" r="N2670">
        <v>1.5</v>
      </c>
      <c s="23" r="O2670">
        <v>0.007</v>
      </c>
      <c s="7" r="P2670"/>
      <c s="7" r="Q2670"/>
      <c s="7" r="R2670">
        <f>IF((P2670&gt;0),O2670,0)</f>
        <v>0</v>
      </c>
      <c t="str" r="S2670">
        <f>CONCATENATE(F2670,E2670)</f>
        <v>NON FTLNON FTL</v>
      </c>
    </row>
    <row r="2671">
      <c t="s" s="7" r="A2671">
        <v>201</v>
      </c>
      <c s="7" r="B2671">
        <v>2698</v>
      </c>
      <c s="30" r="C2671">
        <v>22</v>
      </c>
      <c t="s" s="30" r="D2671">
        <v>136</v>
      </c>
      <c t="s" s="30" r="E2671">
        <v>4</v>
      </c>
      <c t="s" s="30" r="F2671">
        <v>4</v>
      </c>
      <c t="s" s="30" r="G2671">
        <v>296</v>
      </c>
      <c t="str" s="12" r="H2671">
        <f>HYPERLINK("http://sofifa.com/en/fifa13winter/player/145023-patrick-owomoyela","P. Owomoyela")</f>
        <v>P. Owomoyela</v>
      </c>
      <c s="30" r="I2671">
        <v>70</v>
      </c>
      <c t="s" s="30" r="J2671">
        <v>109</v>
      </c>
      <c t="s" s="30" r="K2671">
        <v>155</v>
      </c>
      <c t="s" s="30" r="L2671">
        <v>192</v>
      </c>
      <c s="30" r="M2671">
        <v>32</v>
      </c>
      <c s="26" r="N2671">
        <v>1.3</v>
      </c>
      <c s="23" r="O2671">
        <v>0.008</v>
      </c>
      <c s="7" r="P2671"/>
      <c s="7" r="Q2671"/>
      <c s="7" r="R2671">
        <f>IF((P2671&gt;0),O2671,0)</f>
        <v>0</v>
      </c>
      <c t="str" r="S2671">
        <f>CONCATENATE(F2671,E2671)</f>
        <v>NON FTLNON FTL</v>
      </c>
    </row>
    <row r="2672">
      <c t="s" s="7" r="A2672">
        <v>201</v>
      </c>
      <c s="7" r="B2672">
        <v>2699</v>
      </c>
      <c s="30" r="C2672">
        <v>19</v>
      </c>
      <c t="s" s="30" r="D2672">
        <v>136</v>
      </c>
      <c t="s" s="30" r="E2672">
        <v>4</v>
      </c>
      <c t="s" s="30" r="F2672">
        <v>4</v>
      </c>
      <c t="s" s="30" r="G2672">
        <v>296</v>
      </c>
      <c t="str" s="12" r="H2672">
        <f>HYPERLINK("http://sofifa.com/en/fifa13winter/player/148202-kevin-grosskreutz","K. Großkreutz")</f>
        <v>K. Großkreutz</v>
      </c>
      <c s="30" r="I2672">
        <v>75</v>
      </c>
      <c t="s" s="30" r="J2672">
        <v>128</v>
      </c>
      <c t="s" s="30" r="K2672">
        <v>173</v>
      </c>
      <c t="s" s="30" r="L2672">
        <v>146</v>
      </c>
      <c s="30" r="M2672">
        <v>24</v>
      </c>
      <c s="26" r="N2672">
        <v>4.7</v>
      </c>
      <c s="23" r="O2672">
        <v>0.013</v>
      </c>
      <c s="7" r="P2672"/>
      <c s="7" r="Q2672"/>
      <c s="7" r="R2672">
        <f>IF((P2672&gt;0),O2672,0)</f>
        <v>0</v>
      </c>
      <c t="str" r="S2672">
        <f>CONCATENATE(F2672,E2672)</f>
        <v>NON FTLNON FTL</v>
      </c>
    </row>
    <row r="2673">
      <c t="s" s="7" r="A2673">
        <v>201</v>
      </c>
      <c s="7" r="B2673">
        <v>2700</v>
      </c>
      <c s="30" r="C2673">
        <v>35</v>
      </c>
      <c t="s" s="30" r="D2673">
        <v>147</v>
      </c>
      <c t="s" s="30" r="E2673">
        <v>4</v>
      </c>
      <c t="s" s="30" r="F2673">
        <v>4</v>
      </c>
      <c t="s" s="30" r="G2673">
        <v>296</v>
      </c>
      <c t="str" s="12" r="H2673">
        <f>HYPERLINK("http://sofifa.com/en/fifa13winter/player/149658-jonas-hofmann","J. Hofmann")</f>
        <v>J. Hofmann</v>
      </c>
      <c s="30" r="I2673">
        <v>65</v>
      </c>
      <c t="s" s="30" r="J2673">
        <v>120</v>
      </c>
      <c t="s" s="30" r="K2673">
        <v>172</v>
      </c>
      <c t="s" s="30" r="L2673">
        <v>163</v>
      </c>
      <c s="30" r="M2673">
        <v>20</v>
      </c>
      <c s="26" r="N2673">
        <v>1.1</v>
      </c>
      <c s="23" r="O2673">
        <v>0.004</v>
      </c>
      <c s="7" r="P2673"/>
      <c s="7" r="Q2673"/>
      <c s="7" r="R2673">
        <f>IF((P2673&gt;0),O2673,0)</f>
        <v>0</v>
      </c>
      <c t="str" r="S2673">
        <f>CONCATENATE(F2673,E2673)</f>
        <v>NON FTLNON FTL</v>
      </c>
    </row>
    <row r="2674">
      <c t="s" s="7" r="A2674">
        <v>201</v>
      </c>
      <c s="7" r="B2674">
        <v>2701</v>
      </c>
      <c s="30" r="C2674">
        <v>37</v>
      </c>
      <c t="s" s="30" r="D2674">
        <v>147</v>
      </c>
      <c t="s" s="30" r="E2674">
        <v>4</v>
      </c>
      <c t="s" s="30" r="F2674">
        <v>4</v>
      </c>
      <c t="s" s="30" r="G2674">
        <v>296</v>
      </c>
      <c t="str" s="12" r="H2674">
        <f>HYPERLINK("http://sofifa.com/en/fifa13winter/player/149367-marcel-halstenberg","M. Halstenberg")</f>
        <v>M. Halstenberg</v>
      </c>
      <c s="30" r="I2674">
        <v>60</v>
      </c>
      <c t="s" s="30" r="J2674">
        <v>117</v>
      </c>
      <c t="s" s="30" r="K2674">
        <v>173</v>
      </c>
      <c t="s" s="30" r="L2674">
        <v>193</v>
      </c>
      <c s="30" r="M2674">
        <v>20</v>
      </c>
      <c s="26" r="N2674">
        <v>0.5</v>
      </c>
      <c s="23" r="O2674">
        <v>0.003</v>
      </c>
      <c s="7" r="P2674"/>
      <c s="7" r="Q2674"/>
      <c s="7" r="R2674">
        <f>IF((P2674&gt;0),O2674,0)</f>
        <v>0</v>
      </c>
      <c t="str" r="S2674">
        <f>CONCATENATE(F2674,E2674)</f>
        <v>NON FTLNON FTL</v>
      </c>
    </row>
    <row r="2675">
      <c t="s" s="7" r="A2675">
        <v>201</v>
      </c>
      <c s="7" r="B2675">
        <v>2702</v>
      </c>
      <c s="30" r="C2675">
        <v>25</v>
      </c>
      <c t="s" s="30" r="D2675">
        <v>147</v>
      </c>
      <c t="s" s="30" r="E2675">
        <v>4</v>
      </c>
      <c t="s" s="30" r="F2675">
        <v>4</v>
      </c>
      <c t="s" s="30" r="G2675">
        <v>296</v>
      </c>
      <c t="str" s="12" r="H2675">
        <f>HYPERLINK("http://sofifa.com/en/fifa13winter/player/149182-thomas-meissner","T. Meißner")</f>
        <v>T. Meißner</v>
      </c>
      <c s="30" r="I2675">
        <v>58</v>
      </c>
      <c t="s" s="30" r="J2675">
        <v>113</v>
      </c>
      <c t="s" s="30" r="K2675">
        <v>144</v>
      </c>
      <c t="s" s="30" r="L2675">
        <v>153</v>
      </c>
      <c s="30" r="M2675">
        <v>21</v>
      </c>
      <c s="26" r="N2675">
        <v>0.3</v>
      </c>
      <c s="23" r="O2675">
        <v>0.002</v>
      </c>
      <c s="7" r="P2675"/>
      <c s="7" r="Q2675"/>
      <c s="7" r="R2675">
        <f>IF((P2675&gt;0),O2675,0)</f>
        <v>0</v>
      </c>
      <c t="str" r="S2675">
        <f>CONCATENATE(F2675,E2675)</f>
        <v>NON FTLNON FTL</v>
      </c>
    </row>
    <row r="2676">
      <c t="s" s="7" r="A2676">
        <v>201</v>
      </c>
      <c s="7" r="B2676">
        <v>2703</v>
      </c>
      <c s="30" r="C2676">
        <v>33</v>
      </c>
      <c t="s" s="30" r="D2676">
        <v>147</v>
      </c>
      <c t="s" s="30" r="E2676">
        <v>4</v>
      </c>
      <c t="s" s="30" r="F2676">
        <v>4</v>
      </c>
      <c t="s" s="30" r="G2676">
        <v>296</v>
      </c>
      <c t="str" s="12" r="H2676">
        <f>HYPERLINK("http://sofifa.com/en/fifa13winter/player/149263-zlatan-alomerovic","Z. Alomerovic")</f>
        <v>Z. Alomerovic</v>
      </c>
      <c s="30" r="I2676">
        <v>61</v>
      </c>
      <c t="s" s="30" r="J2676">
        <v>106</v>
      </c>
      <c t="s" s="30" r="K2676">
        <v>155</v>
      </c>
      <c t="s" s="30" r="L2676">
        <v>175</v>
      </c>
      <c s="30" r="M2676">
        <v>21</v>
      </c>
      <c s="26" r="N2676">
        <v>0.5</v>
      </c>
      <c s="23" r="O2676">
        <v>0.003</v>
      </c>
      <c s="7" r="P2676"/>
      <c s="7" r="Q2676"/>
      <c s="7" r="R2676">
        <f>IF((P2676&gt;0),O2676,0)</f>
        <v>0</v>
      </c>
      <c t="str" r="S2676">
        <f>CONCATENATE(F2676,E2676)</f>
        <v>NON FTLNON FTL</v>
      </c>
    </row>
    <row r="2677">
      <c t="s" s="7" r="A2677">
        <v>201</v>
      </c>
      <c s="7" r="B2677">
        <v>2704</v>
      </c>
      <c s="30" r="C2677">
        <v>39</v>
      </c>
      <c t="s" s="30" r="D2677">
        <v>147</v>
      </c>
      <c t="s" s="30" r="E2677">
        <v>4</v>
      </c>
      <c t="s" s="30" r="F2677">
        <v>4</v>
      </c>
      <c t="s" s="30" r="G2677">
        <v>296</v>
      </c>
      <c t="str" s="12" r="H2677">
        <f>HYPERLINK("http://sofifa.com/en/fifa13winter/player/149595-erik-durm","E. Durm")</f>
        <v>E. Durm</v>
      </c>
      <c s="30" r="I2677">
        <v>62</v>
      </c>
      <c t="s" s="30" r="J2677">
        <v>129</v>
      </c>
      <c t="s" s="30" r="K2677">
        <v>110</v>
      </c>
      <c t="s" s="30" r="L2677">
        <v>119</v>
      </c>
      <c s="30" r="M2677">
        <v>20</v>
      </c>
      <c s="26" r="N2677">
        <v>0.9</v>
      </c>
      <c s="23" r="O2677">
        <v>0.003</v>
      </c>
      <c s="7" r="P2677"/>
      <c s="7" r="Q2677"/>
      <c s="7" r="R2677">
        <f>IF((P2677&gt;0),O2677,0)</f>
        <v>0</v>
      </c>
      <c t="str" r="S2677">
        <f>CONCATENATE(F2677,E2677)</f>
        <v>NON FTLNON FTL</v>
      </c>
    </row>
    <row r="2678">
      <c t="s" s="7" r="A2678">
        <v>201</v>
      </c>
      <c s="7" r="B2678">
        <v>2705</v>
      </c>
      <c s="30" r="C2678">
        <v>30</v>
      </c>
      <c t="s" s="30" r="D2678">
        <v>147</v>
      </c>
      <c t="s" s="30" r="E2678">
        <v>4</v>
      </c>
      <c t="s" s="30" r="F2678">
        <v>4</v>
      </c>
      <c t="s" s="30" r="G2678">
        <v>296</v>
      </c>
      <c t="str" s="12" r="H2678">
        <f>HYPERLINK("http://sofifa.com/en/fifa13winter/player/150421-koray-gunter","K. Günter")</f>
        <v>K. Günter</v>
      </c>
      <c s="30" r="I2678">
        <v>62</v>
      </c>
      <c t="s" s="30" r="J2678">
        <v>113</v>
      </c>
      <c t="s" s="30" r="K2678">
        <v>167</v>
      </c>
      <c t="s" s="30" r="L2678">
        <v>158</v>
      </c>
      <c s="30" r="M2678">
        <v>18</v>
      </c>
      <c s="26" r="N2678">
        <v>0.8</v>
      </c>
      <c s="23" r="O2678">
        <v>0.003</v>
      </c>
      <c s="7" r="P2678"/>
      <c s="7" r="Q2678"/>
      <c s="7" r="R2678">
        <f>IF((P2678&gt;0),O2678,0)</f>
        <v>0</v>
      </c>
      <c t="str" r="S2678">
        <f>CONCATENATE(F2678,E2678)</f>
        <v>NON FTLNON FTL</v>
      </c>
    </row>
    <row r="2679">
      <c t="s" s="7" r="A2679">
        <v>201</v>
      </c>
      <c s="7" r="B2679">
        <v>2706</v>
      </c>
      <c s="30" r="C2679">
        <v>31</v>
      </c>
      <c t="s" s="30" r="D2679">
        <v>147</v>
      </c>
      <c t="s" s="30" r="E2679">
        <v>4</v>
      </c>
      <c t="s" s="30" r="F2679">
        <v>4</v>
      </c>
      <c t="s" s="30" r="G2679">
        <v>296</v>
      </c>
      <c t="str" s="12" r="H2679">
        <f>HYPERLINK("http://sofifa.com/en/fifa13winter/player/148623-marvin-bakalorz","M. Bakalorz")</f>
        <v>M. Bakalorz</v>
      </c>
      <c s="30" r="I2679">
        <v>64</v>
      </c>
      <c t="s" s="30" r="J2679">
        <v>154</v>
      </c>
      <c t="s" s="30" r="K2679">
        <v>114</v>
      </c>
      <c t="s" s="30" r="L2679">
        <v>137</v>
      </c>
      <c s="30" r="M2679">
        <v>22</v>
      </c>
      <c s="26" r="N2679">
        <v>0.9</v>
      </c>
      <c s="23" r="O2679">
        <v>0.004</v>
      </c>
      <c s="7" r="P2679"/>
      <c s="7" r="Q2679"/>
      <c s="7" r="R2679">
        <f>IF((P2679&gt;0),O2679,0)</f>
        <v>0</v>
      </c>
      <c t="str" r="S2679">
        <f>CONCATENATE(F2679,E2679)</f>
        <v>NON FTLNON FTL</v>
      </c>
    </row>
    <row r="2680">
      <c t="s" s="7" r="A2680">
        <v>201</v>
      </c>
      <c s="7" r="B2680">
        <v>2707</v>
      </c>
      <c s="30" r="C2680">
        <v>34</v>
      </c>
      <c t="s" s="30" r="D2680">
        <v>147</v>
      </c>
      <c t="s" s="30" r="E2680">
        <v>4</v>
      </c>
      <c t="s" s="30" r="F2680">
        <v>4</v>
      </c>
      <c t="s" s="30" r="G2680">
        <v>296</v>
      </c>
      <c t="str" s="12" r="H2680">
        <f>HYPERLINK("http://sofifa.com/en/fifa13winter/player/150259-marvin-ducksch","M. Ducksch")</f>
        <v>M. Ducksch</v>
      </c>
      <c s="30" r="I2680">
        <v>61</v>
      </c>
      <c t="s" s="30" r="J2680">
        <v>129</v>
      </c>
      <c t="s" s="30" r="K2680">
        <v>144</v>
      </c>
      <c t="s" s="30" r="L2680">
        <v>158</v>
      </c>
      <c s="30" r="M2680">
        <v>18</v>
      </c>
      <c s="26" r="N2680">
        <v>0.8</v>
      </c>
      <c s="23" r="O2680">
        <v>0.003</v>
      </c>
      <c s="7" r="P2680"/>
      <c s="7" r="Q2680"/>
      <c s="7" r="R2680">
        <f>IF((P2680&gt;0),O2680,0)</f>
        <v>0</v>
      </c>
      <c t="str" r="S2680">
        <f>CONCATENATE(F2680,E2680)</f>
        <v>NON FTLNON FTL</v>
      </c>
    </row>
    <row r="2681">
      <c t="s" s="7" r="A2681">
        <v>201</v>
      </c>
      <c s="7" r="B2681">
        <v>2708</v>
      </c>
      <c s="30" r="C2681">
        <v>3</v>
      </c>
      <c t="s" s="30" r="D2681">
        <v>147</v>
      </c>
      <c t="s" s="30" r="E2681">
        <v>4</v>
      </c>
      <c t="s" s="30" r="F2681">
        <v>4</v>
      </c>
      <c t="s" s="30" r="G2681">
        <v>296</v>
      </c>
      <c t="str" s="12" r="H2681">
        <f>HYPERLINK("http://sofifa.com/en/fifa13winter/player/149158-marc-hornschuh","M. Hornschuh")</f>
        <v>M. Hornschuh</v>
      </c>
      <c s="30" r="I2681">
        <v>63</v>
      </c>
      <c t="s" s="30" r="J2681">
        <v>109</v>
      </c>
      <c t="s" s="30" r="K2681">
        <v>134</v>
      </c>
      <c t="s" s="30" r="L2681">
        <v>151</v>
      </c>
      <c s="30" r="M2681">
        <v>21</v>
      </c>
      <c s="26" r="N2681">
        <v>0.8</v>
      </c>
      <c s="23" r="O2681">
        <v>0.004</v>
      </c>
      <c s="7" r="P2681"/>
      <c s="7" r="Q2681"/>
      <c s="7" r="R2681">
        <f>IF((P2681&gt;0),O2681,0)</f>
        <v>0</v>
      </c>
      <c t="str" r="S2681">
        <f>CONCATENATE(F2681,E2681)</f>
        <v>NON FTLNON FTL</v>
      </c>
    </row>
    <row r="2682">
      <c t="s" s="7" r="A2682">
        <v>201</v>
      </c>
      <c s="7" r="B2682">
        <v>2709</v>
      </c>
      <c s="30" r="C2682">
        <v>36</v>
      </c>
      <c t="s" s="30" r="D2682">
        <v>147</v>
      </c>
      <c t="s" s="30" r="E2682">
        <v>4</v>
      </c>
      <c t="s" s="30" r="F2682">
        <v>4</v>
      </c>
      <c t="s" s="30" r="G2682">
        <v>296</v>
      </c>
      <c t="str" s="12" r="H2682">
        <f>HYPERLINK("http://sofifa.com/en/fifa13winter/player/149539-rico-benatelli","R. Benatelli")</f>
        <v>R. Benatelli</v>
      </c>
      <c s="30" r="I2682">
        <v>58</v>
      </c>
      <c t="s" s="30" r="J2682">
        <v>162</v>
      </c>
      <c t="s" s="30" r="K2682">
        <v>114</v>
      </c>
      <c t="s" s="30" r="L2682">
        <v>160</v>
      </c>
      <c s="30" r="M2682">
        <v>20</v>
      </c>
      <c s="26" r="N2682">
        <v>0.4</v>
      </c>
      <c s="23" r="O2682">
        <v>0.002</v>
      </c>
      <c s="7" r="P2682"/>
      <c s="7" r="Q2682"/>
      <c s="7" r="R2682">
        <f>IF((P2682&gt;0),O2682,0)</f>
        <v>0</v>
      </c>
      <c t="str" r="S2682">
        <f>CONCATENATE(F2682,E2682)</f>
        <v>NON FTLNON FTL</v>
      </c>
    </row>
    <row r="2683">
      <c t="s" s="7" r="A2683">
        <v>201</v>
      </c>
      <c s="7" r="B2683">
        <v>2710</v>
      </c>
      <c s="30" r="C2683">
        <v>32</v>
      </c>
      <c t="s" s="30" r="D2683">
        <v>106</v>
      </c>
      <c t="s" s="30" r="E2683">
        <v>4</v>
      </c>
      <c t="s" s="30" r="F2683">
        <v>4</v>
      </c>
      <c t="s" s="30" r="G2683">
        <v>297</v>
      </c>
      <c t="str" s="12" r="H2683">
        <f>HYPERLINK("http://sofifa.com/en/fifa13winter/player/144173-christian-abbiati","C. Abbiati")</f>
        <v>C. Abbiati</v>
      </c>
      <c s="30" r="I2683">
        <v>81</v>
      </c>
      <c t="s" s="30" r="J2683">
        <v>106</v>
      </c>
      <c t="s" s="30" r="K2683">
        <v>144</v>
      </c>
      <c t="s" s="30" r="L2683">
        <v>135</v>
      </c>
      <c s="30" r="M2683">
        <v>35</v>
      </c>
      <c s="26" r="N2683">
        <v>5.8</v>
      </c>
      <c s="23" r="O2683">
        <v>0.051</v>
      </c>
      <c s="7" r="P2683"/>
      <c s="7" r="Q2683"/>
      <c s="7" r="R2683">
        <f>IF((P2683&gt;0),O2683,0)</f>
        <v>0</v>
      </c>
      <c t="str" r="S2683">
        <f>CONCATENATE(F2683,E2683)</f>
        <v>NON FTLNON FTL</v>
      </c>
    </row>
    <row r="2684">
      <c t="s" s="7" r="A2684">
        <v>201</v>
      </c>
      <c s="7" r="B2684">
        <v>2711</v>
      </c>
      <c s="30" r="C2684">
        <v>20</v>
      </c>
      <c t="s" s="30" r="D2684">
        <v>109</v>
      </c>
      <c t="s" s="30" r="E2684">
        <v>4</v>
      </c>
      <c t="s" s="30" r="F2684">
        <v>4</v>
      </c>
      <c t="s" s="30" r="G2684">
        <v>297</v>
      </c>
      <c t="str" s="12" r="H2684">
        <f>HYPERLINK("http://sofifa.com/en/fifa13winter/player/147587-ignazio-abate","I. Abate")</f>
        <v>I. Abate</v>
      </c>
      <c s="30" r="I2684">
        <v>79</v>
      </c>
      <c t="s" s="30" r="J2684">
        <v>109</v>
      </c>
      <c t="s" s="30" r="K2684">
        <v>114</v>
      </c>
      <c t="s" s="30" r="L2684">
        <v>119</v>
      </c>
      <c s="30" r="M2684">
        <v>25</v>
      </c>
      <c s="26" r="N2684">
        <v>7.5</v>
      </c>
      <c s="23" r="O2684">
        <v>0.022</v>
      </c>
      <c s="7" r="P2684"/>
      <c s="7" r="Q2684"/>
      <c s="7" r="R2684">
        <f>IF((P2684&gt;0),O2684,0)</f>
        <v>0</v>
      </c>
      <c t="str" r="S2684">
        <f>CONCATENATE(F2684,E2684)</f>
        <v>NON FTLNON FTL</v>
      </c>
    </row>
    <row r="2685">
      <c t="s" s="7" r="A2685">
        <v>201</v>
      </c>
      <c s="7" r="B2685">
        <v>2712</v>
      </c>
      <c s="30" r="C2685">
        <v>17</v>
      </c>
      <c t="s" s="30" r="D2685">
        <v>112</v>
      </c>
      <c t="s" s="30" r="E2685">
        <v>4</v>
      </c>
      <c t="s" s="30" r="F2685">
        <v>4</v>
      </c>
      <c t="s" s="30" r="G2685">
        <v>297</v>
      </c>
      <c t="str" s="12" r="H2685">
        <f>HYPERLINK("http://sofifa.com/en/fifa13winter/player/147544-cristian-zapata","C. Zapata")</f>
        <v>C. Zapata</v>
      </c>
      <c s="30" r="I2685">
        <v>79</v>
      </c>
      <c t="s" s="30" r="J2685">
        <v>113</v>
      </c>
      <c t="s" s="30" r="K2685">
        <v>155</v>
      </c>
      <c t="s" s="30" r="L2685">
        <v>193</v>
      </c>
      <c s="30" r="M2685">
        <v>25</v>
      </c>
      <c s="26" r="N2685">
        <v>7.2</v>
      </c>
      <c s="23" r="O2685">
        <v>0.022</v>
      </c>
      <c s="7" r="P2685"/>
      <c s="7" r="Q2685"/>
      <c s="7" r="R2685">
        <f>IF((P2685&gt;0),O2685,0)</f>
        <v>0</v>
      </c>
      <c t="str" r="S2685">
        <f>CONCATENATE(F2685,E2685)</f>
        <v>NON FTLNON FTL</v>
      </c>
    </row>
    <row r="2686">
      <c t="s" s="7" r="A2686">
        <v>201</v>
      </c>
      <c s="7" r="B2686">
        <v>2713</v>
      </c>
      <c s="30" r="C2686">
        <v>5</v>
      </c>
      <c t="s" s="30" r="D2686">
        <v>116</v>
      </c>
      <c t="s" s="30" r="E2686">
        <v>4</v>
      </c>
      <c t="s" s="30" r="F2686">
        <v>4</v>
      </c>
      <c t="s" s="30" r="G2686">
        <v>297</v>
      </c>
      <c t="str" s="12" r="H2686">
        <f>HYPERLINK("http://sofifa.com/en/fifa13winter/player/145899-philippe-mexes","P. Mexès")</f>
        <v>P. Mexès</v>
      </c>
      <c s="30" r="I2686">
        <v>81</v>
      </c>
      <c t="s" s="30" r="J2686">
        <v>113</v>
      </c>
      <c t="s" s="30" r="K2686">
        <v>155</v>
      </c>
      <c t="s" s="30" r="L2686">
        <v>193</v>
      </c>
      <c s="30" r="M2686">
        <v>30</v>
      </c>
      <c s="26" r="N2686">
        <v>9.7</v>
      </c>
      <c s="23" r="O2686">
        <v>0.045</v>
      </c>
      <c s="7" r="P2686"/>
      <c s="7" r="Q2686"/>
      <c s="7" r="R2686">
        <f>IF((P2686&gt;0),O2686,0)</f>
        <v>0</v>
      </c>
      <c t="str" r="S2686">
        <f>CONCATENATE(F2686,E2686)</f>
        <v>NON FTLNON FTL</v>
      </c>
    </row>
    <row r="2687">
      <c t="s" s="7" r="A2687">
        <v>201</v>
      </c>
      <c s="7" r="B2687">
        <v>2714</v>
      </c>
      <c s="30" r="C2687">
        <v>2</v>
      </c>
      <c t="s" s="30" r="D2687">
        <v>117</v>
      </c>
      <c t="s" s="30" r="E2687">
        <v>4</v>
      </c>
      <c t="s" s="30" r="F2687">
        <v>4</v>
      </c>
      <c t="s" s="30" r="G2687">
        <v>297</v>
      </c>
      <c t="str" s="12" r="H2687">
        <f>HYPERLINK("http://sofifa.com/en/fifa13winter/player/149756-mattia-de-sciglio","M. De Sciglio")</f>
        <v>M. De Sciglio</v>
      </c>
      <c s="30" r="I2687">
        <v>77</v>
      </c>
      <c t="s" s="30" r="J2687">
        <v>109</v>
      </c>
      <c t="s" s="30" r="K2687">
        <v>110</v>
      </c>
      <c t="s" s="30" r="L2687">
        <v>160</v>
      </c>
      <c s="30" r="M2687">
        <v>19</v>
      </c>
      <c s="26" r="N2687">
        <v>6.1</v>
      </c>
      <c s="23" r="O2687">
        <v>0.013</v>
      </c>
      <c s="7" r="P2687"/>
      <c s="7" r="Q2687"/>
      <c s="7" r="R2687">
        <f>IF((P2687&gt;0),O2687,0)</f>
        <v>0</v>
      </c>
      <c t="str" r="S2687">
        <f>CONCATENATE(F2687,E2687)</f>
        <v>NON FTLNON FTL</v>
      </c>
    </row>
    <row r="2688">
      <c t="s" s="7" r="A2688">
        <v>201</v>
      </c>
      <c s="7" r="B2688">
        <v>2715</v>
      </c>
      <c s="30" r="C2688">
        <v>16</v>
      </c>
      <c t="s" s="30" r="D2688">
        <v>123</v>
      </c>
      <c t="s" s="30" r="E2688">
        <v>4</v>
      </c>
      <c t="s" s="30" r="F2688">
        <v>4</v>
      </c>
      <c t="s" s="30" r="G2688">
        <v>297</v>
      </c>
      <c t="str" s="12" r="H2688">
        <f>HYPERLINK("http://sofifa.com/en/fifa13winter/player/146607-mathieu-flamini","M. Flamini")</f>
        <v>M. Flamini</v>
      </c>
      <c s="30" r="I2688">
        <v>76</v>
      </c>
      <c t="s" s="30" r="J2688">
        <v>124</v>
      </c>
      <c t="s" s="30" r="K2688">
        <v>118</v>
      </c>
      <c t="s" s="30" r="L2688">
        <v>163</v>
      </c>
      <c s="30" r="M2688">
        <v>28</v>
      </c>
      <c s="26" r="N2688">
        <v>4.6</v>
      </c>
      <c s="23" r="O2688">
        <v>0.015</v>
      </c>
      <c s="7" r="P2688"/>
      <c s="7" r="Q2688"/>
      <c s="7" r="R2688">
        <f>IF((P2688&gt;0),O2688,0)</f>
        <v>0</v>
      </c>
      <c t="str" r="S2688">
        <f>CONCATENATE(F2688,E2688)</f>
        <v>NON FTLNON FTL</v>
      </c>
    </row>
    <row r="2689">
      <c t="s" s="7" r="A2689">
        <v>201</v>
      </c>
      <c s="7" r="B2689">
        <v>2716</v>
      </c>
      <c s="30" r="C2689">
        <v>18</v>
      </c>
      <c t="s" s="30" r="D2689">
        <v>124</v>
      </c>
      <c t="s" s="30" r="E2689">
        <v>4</v>
      </c>
      <c t="s" s="30" r="F2689">
        <v>4</v>
      </c>
      <c t="s" s="30" r="G2689">
        <v>297</v>
      </c>
      <c t="str" s="12" r="H2689">
        <f>HYPERLINK("http://sofifa.com/en/fifa13winter/player/146924-riccardo-montolivo","R. Montolivo")</f>
        <v>R. Montolivo</v>
      </c>
      <c s="30" r="I2689">
        <v>85</v>
      </c>
      <c t="s" s="30" r="J2689">
        <v>124</v>
      </c>
      <c t="s" s="30" r="K2689">
        <v>150</v>
      </c>
      <c t="s" s="30" r="L2689">
        <v>149</v>
      </c>
      <c s="30" r="M2689">
        <v>27</v>
      </c>
      <c s="26" r="N2689">
        <v>19.8</v>
      </c>
      <c s="23" r="O2689">
        <v>0.1</v>
      </c>
      <c s="7" r="P2689"/>
      <c s="7" r="Q2689"/>
      <c s="7" r="R2689">
        <f>IF((P2689&gt;0),O2689,0)</f>
        <v>0</v>
      </c>
      <c t="str" r="S2689">
        <f>CONCATENATE(F2689,E2689)</f>
        <v>NON FTLNON FTL</v>
      </c>
    </row>
    <row r="2690">
      <c t="s" s="7" r="A2690">
        <v>201</v>
      </c>
      <c s="7" r="B2690">
        <v>2717</v>
      </c>
      <c s="30" r="C2690">
        <v>4</v>
      </c>
      <c t="s" s="30" r="D2690">
        <v>126</v>
      </c>
      <c t="s" s="30" r="E2690">
        <v>4</v>
      </c>
      <c t="s" s="30" r="F2690">
        <v>4</v>
      </c>
      <c t="s" s="30" r="G2690">
        <v>297</v>
      </c>
      <c t="str" s="12" r="H2690">
        <f>HYPERLINK("http://sofifa.com/en/fifa13winter/player/146780-sulley-muntari","S. Muntari")</f>
        <v>S. Muntari</v>
      </c>
      <c s="30" r="I2690">
        <v>77</v>
      </c>
      <c t="s" s="30" r="J2690">
        <v>124</v>
      </c>
      <c t="s" s="30" r="K2690">
        <v>145</v>
      </c>
      <c t="s" s="30" r="L2690">
        <v>137</v>
      </c>
      <c s="30" r="M2690">
        <v>28</v>
      </c>
      <c s="26" r="N2690">
        <v>5.3</v>
      </c>
      <c s="23" r="O2690">
        <v>0.017</v>
      </c>
      <c s="7" r="P2690"/>
      <c s="7" r="Q2690"/>
      <c s="7" r="R2690">
        <f>IF((P2690&gt;0),O2690,0)</f>
        <v>0</v>
      </c>
      <c t="str" r="S2690">
        <f>CONCATENATE(F2690,E2690)</f>
        <v>NON FTLNON FTL</v>
      </c>
    </row>
    <row r="2691">
      <c t="s" s="7" r="A2691">
        <v>201</v>
      </c>
      <c s="7" r="B2691">
        <v>2718</v>
      </c>
      <c s="30" r="C2691">
        <v>19</v>
      </c>
      <c t="s" s="30" r="D2691">
        <v>157</v>
      </c>
      <c t="s" s="30" r="E2691">
        <v>4</v>
      </c>
      <c t="s" s="30" r="F2691">
        <v>4</v>
      </c>
      <c t="s" s="30" r="G2691">
        <v>297</v>
      </c>
      <c t="str" s="12" r="H2691">
        <f>HYPERLINK("http://sofifa.com/en/fifa13winter/player/150546-mbaye-niang","M. Niang")</f>
        <v>M. Niang</v>
      </c>
      <c s="30" r="I2691">
        <v>77</v>
      </c>
      <c t="s" s="30" r="J2691">
        <v>157</v>
      </c>
      <c t="s" s="30" r="K2691">
        <v>167</v>
      </c>
      <c t="s" s="30" r="L2691">
        <v>151</v>
      </c>
      <c s="30" r="M2691">
        <v>17</v>
      </c>
      <c s="26" r="N2691">
        <v>7.4</v>
      </c>
      <c s="23" r="O2691">
        <v>0.012</v>
      </c>
      <c s="7" r="P2691"/>
      <c s="7" r="Q2691"/>
      <c s="7" r="R2691">
        <f>IF((P2691&gt;0),O2691,0)</f>
        <v>0</v>
      </c>
      <c t="str" r="S2691">
        <f>CONCATENATE(F2691,E2691)</f>
        <v>NON FTLNON FTL</v>
      </c>
    </row>
    <row r="2692">
      <c t="s" s="7" r="A2692">
        <v>201</v>
      </c>
      <c s="7" r="B2692">
        <v>2719</v>
      </c>
      <c s="30" r="C2692">
        <v>45</v>
      </c>
      <c t="s" s="30" r="D2692">
        <v>129</v>
      </c>
      <c t="s" s="30" r="E2692">
        <v>4</v>
      </c>
      <c t="s" s="30" r="F2692">
        <v>4</v>
      </c>
      <c t="s" s="30" r="G2692">
        <v>297</v>
      </c>
      <c t="str" s="12" r="H2692">
        <f>HYPERLINK("http://sofifa.com/en/fifa13winter/player/148956-mario-balotelli","M. Balotelli")</f>
        <v>M. Balotelli</v>
      </c>
      <c s="30" r="I2692">
        <v>83</v>
      </c>
      <c t="s" s="30" r="J2692">
        <v>129</v>
      </c>
      <c t="s" s="30" r="K2692">
        <v>169</v>
      </c>
      <c t="s" s="30" r="L2692">
        <v>175</v>
      </c>
      <c s="30" r="M2692">
        <v>22</v>
      </c>
      <c s="26" r="N2692">
        <v>19.8</v>
      </c>
      <c s="23" r="O2692">
        <v>0.063</v>
      </c>
      <c s="7" r="P2692"/>
      <c s="7" r="Q2692"/>
      <c s="7" r="R2692">
        <f>IF((P2692&gt;0),O2692,0)</f>
        <v>0</v>
      </c>
      <c t="str" r="S2692">
        <f>CONCATENATE(F2692,E2692)</f>
        <v>NON FTLNON FTL</v>
      </c>
    </row>
    <row r="2693">
      <c t="s" s="7" r="A2693">
        <v>201</v>
      </c>
      <c s="7" r="B2693">
        <v>2720</v>
      </c>
      <c s="30" r="C2693">
        <v>92</v>
      </c>
      <c t="s" s="30" r="D2693">
        <v>170</v>
      </c>
      <c t="s" s="30" r="E2693">
        <v>4</v>
      </c>
      <c t="s" s="30" r="F2693">
        <v>4</v>
      </c>
      <c t="s" s="30" r="G2693">
        <v>297</v>
      </c>
      <c t="str" s="12" r="H2693">
        <f>HYPERLINK("http://sofifa.com/en/fifa13winter/player/149763-stephan-el-shaarawy","S. El Shaarawy")</f>
        <v>S. El Shaarawy</v>
      </c>
      <c s="30" r="I2693">
        <v>82</v>
      </c>
      <c t="s" s="30" r="J2693">
        <v>170</v>
      </c>
      <c t="s" s="30" r="K2693">
        <v>118</v>
      </c>
      <c t="s" s="30" r="L2693">
        <v>146</v>
      </c>
      <c s="30" r="M2693">
        <v>19</v>
      </c>
      <c s="26" r="N2693">
        <v>18.2</v>
      </c>
      <c s="23" r="O2693">
        <v>0.042</v>
      </c>
      <c s="7" r="P2693"/>
      <c s="7" r="Q2693"/>
      <c s="7" r="R2693">
        <f>IF((P2693&gt;0),O2693,0)</f>
        <v>0</v>
      </c>
      <c t="str" r="S2693">
        <f>CONCATENATE(F2693,E2693)</f>
        <v>NON FTLNON FTL</v>
      </c>
    </row>
    <row r="2694">
      <c t="s" s="7" r="A2694">
        <v>201</v>
      </c>
      <c s="7" r="B2694">
        <v>2721</v>
      </c>
      <c s="30" r="C2694">
        <v>76</v>
      </c>
      <c t="s" s="30" r="D2694">
        <v>136</v>
      </c>
      <c t="s" s="30" r="E2694">
        <v>4</v>
      </c>
      <c t="s" s="30" r="F2694">
        <v>4</v>
      </c>
      <c t="s" s="30" r="G2694">
        <v>297</v>
      </c>
      <c t="str" s="12" r="H2694">
        <f>HYPERLINK("http://sofifa.com/en/fifa13winter/player/143631-mario-yepes","M. Yepes")</f>
        <v>M. Yepes</v>
      </c>
      <c s="30" r="I2694">
        <v>79</v>
      </c>
      <c t="s" s="30" r="J2694">
        <v>113</v>
      </c>
      <c t="s" s="30" r="K2694">
        <v>173</v>
      </c>
      <c t="s" s="30" r="L2694">
        <v>108</v>
      </c>
      <c s="30" r="M2694">
        <v>36</v>
      </c>
      <c s="26" r="N2694">
        <v>3.9</v>
      </c>
      <c s="23" r="O2694">
        <v>0.028</v>
      </c>
      <c s="7" r="P2694"/>
      <c s="7" r="Q2694"/>
      <c s="7" r="R2694">
        <f>IF((P2694&gt;0),O2694,0)</f>
        <v>0</v>
      </c>
      <c t="str" r="S2694">
        <f>CONCATENATE(F2694,E2694)</f>
        <v>NON FTLNON FTL</v>
      </c>
    </row>
    <row r="2695">
      <c t="s" s="7" r="A2695">
        <v>201</v>
      </c>
      <c s="7" r="B2695">
        <v>2722</v>
      </c>
      <c s="30" r="C2695">
        <v>25</v>
      </c>
      <c t="s" s="30" r="D2695">
        <v>136</v>
      </c>
      <c t="s" s="30" r="E2695">
        <v>4</v>
      </c>
      <c t="s" s="30" r="F2695">
        <v>4</v>
      </c>
      <c t="s" s="30" r="G2695">
        <v>297</v>
      </c>
      <c t="str" s="12" r="H2695">
        <f>HYPERLINK("http://sofifa.com/en/fifa13winter/player/145596-daniele-bonera","D. Bonera")</f>
        <v>D. Bonera</v>
      </c>
      <c s="30" r="I2695">
        <v>78</v>
      </c>
      <c t="s" s="30" r="J2695">
        <v>113</v>
      </c>
      <c t="s" s="30" r="K2695">
        <v>110</v>
      </c>
      <c t="s" s="30" r="L2695">
        <v>160</v>
      </c>
      <c s="30" r="M2695">
        <v>31</v>
      </c>
      <c s="26" r="N2695">
        <v>5.1</v>
      </c>
      <c s="23" r="O2695">
        <v>0.022</v>
      </c>
      <c s="7" r="P2695"/>
      <c s="7" r="Q2695"/>
      <c s="7" r="R2695">
        <f>IF((P2695&gt;0),O2695,0)</f>
        <v>0</v>
      </c>
      <c t="str" r="S2695">
        <f>CONCATENATE(F2695,E2695)</f>
        <v>NON FTLNON FTL</v>
      </c>
    </row>
    <row r="2696">
      <c t="s" s="7" r="A2696">
        <v>201</v>
      </c>
      <c s="7" r="B2696">
        <v>2723</v>
      </c>
      <c s="30" r="C2696">
        <v>21</v>
      </c>
      <c t="s" s="30" r="D2696">
        <v>136</v>
      </c>
      <c t="s" s="30" r="E2696">
        <v>4</v>
      </c>
      <c t="s" s="30" r="F2696">
        <v>4</v>
      </c>
      <c t="s" s="30" r="G2696">
        <v>297</v>
      </c>
      <c t="str" s="12" r="H2696">
        <f>HYPERLINK("http://sofifa.com/en/fifa13winter/player/147771-kevin-constant","K. Constant")</f>
        <v>K. Constant</v>
      </c>
      <c s="30" r="I2696">
        <v>78</v>
      </c>
      <c t="s" s="30" r="J2696">
        <v>117</v>
      </c>
      <c t="s" s="30" r="K2696">
        <v>167</v>
      </c>
      <c t="s" s="30" r="L2696">
        <v>153</v>
      </c>
      <c s="30" r="M2696">
        <v>25</v>
      </c>
      <c s="26" r="N2696">
        <v>6.1</v>
      </c>
      <c s="23" r="O2696">
        <v>0.019</v>
      </c>
      <c s="7" r="P2696"/>
      <c s="7" r="Q2696"/>
      <c s="7" r="R2696">
        <f>IF((P2696&gt;0),O2696,0)</f>
        <v>0</v>
      </c>
      <c t="str" r="S2696">
        <f>CONCATENATE(F2696,E2696)</f>
        <v>NON FTLNON FTL</v>
      </c>
    </row>
    <row r="2697">
      <c t="s" s="7" r="A2697">
        <v>201</v>
      </c>
      <c s="7" r="B2697">
        <v>2724</v>
      </c>
      <c s="30" r="C2697">
        <v>22</v>
      </c>
      <c t="s" s="30" r="D2697">
        <v>136</v>
      </c>
      <c t="s" s="30" r="E2697">
        <v>4</v>
      </c>
      <c t="s" s="30" r="F2697">
        <v>4</v>
      </c>
      <c t="s" s="30" r="G2697">
        <v>297</v>
      </c>
      <c t="str" s="12" r="H2697">
        <f>HYPERLINK("http://sofifa.com/en/fifa13winter/player/148972-bojan-krkic-perez","Bojan")</f>
        <v>Bojan</v>
      </c>
      <c s="30" r="I2697">
        <v>78</v>
      </c>
      <c t="s" s="30" r="J2697">
        <v>171</v>
      </c>
      <c t="s" s="30" r="K2697">
        <v>121</v>
      </c>
      <c t="s" s="30" r="L2697">
        <v>149</v>
      </c>
      <c s="30" r="M2697">
        <v>22</v>
      </c>
      <c s="26" r="N2697">
        <v>8.3</v>
      </c>
      <c s="23" r="O2697">
        <v>0.017</v>
      </c>
      <c s="7" r="P2697"/>
      <c s="7" r="Q2697"/>
      <c s="7" r="R2697">
        <f>IF((P2697&gt;0),O2697,0)</f>
        <v>0</v>
      </c>
      <c t="str" r="S2697">
        <f>CONCATENATE(F2697,E2697)</f>
        <v>NON FTLNON FTL</v>
      </c>
    </row>
    <row r="2698">
      <c t="s" s="7" r="A2698">
        <v>201</v>
      </c>
      <c s="7" r="B2698">
        <v>2725</v>
      </c>
      <c s="30" r="C2698">
        <v>10</v>
      </c>
      <c t="s" s="30" r="D2698">
        <v>136</v>
      </c>
      <c t="s" s="30" r="E2698">
        <v>4</v>
      </c>
      <c t="s" s="30" r="F2698">
        <v>4</v>
      </c>
      <c t="s" s="30" r="G2698">
        <v>297</v>
      </c>
      <c t="str" s="12" r="H2698">
        <f>HYPERLINK("http://sofifa.com/en/fifa13winter/player/147701-kevin-prince-boateng","K. Boateng")</f>
        <v>K. Boateng</v>
      </c>
      <c s="30" r="I2698">
        <v>83</v>
      </c>
      <c t="s" s="30" r="J2698">
        <v>162</v>
      </c>
      <c t="s" s="30" r="K2698">
        <v>132</v>
      </c>
      <c t="s" s="30" r="L2698">
        <v>180</v>
      </c>
      <c s="30" r="M2698">
        <v>25</v>
      </c>
      <c s="26" r="N2698">
        <v>20.6</v>
      </c>
      <c s="23" r="O2698">
        <v>0.068</v>
      </c>
      <c s="7" r="P2698"/>
      <c s="7" r="Q2698"/>
      <c s="7" r="R2698">
        <f>IF((P2698&gt;0),O2698,0)</f>
        <v>0</v>
      </c>
      <c t="str" r="S2698">
        <f>CONCATENATE(F2698,E2698)</f>
        <v>NON FTLNON FTL</v>
      </c>
    </row>
    <row r="2699">
      <c t="s" s="7" r="A2699">
        <v>201</v>
      </c>
      <c s="7" r="B2699">
        <v>2726</v>
      </c>
      <c s="30" r="C2699">
        <v>81</v>
      </c>
      <c t="s" s="30" r="D2699">
        <v>136</v>
      </c>
      <c t="s" s="30" r="E2699">
        <v>4</v>
      </c>
      <c t="s" s="30" r="F2699">
        <v>4</v>
      </c>
      <c t="s" s="30" r="G2699">
        <v>297</v>
      </c>
      <c t="str" s="12" r="H2699">
        <f>HYPERLINK("http://sofifa.com/en/fifa13winter/player/145800-cristian-zaccardo","C. Zaccardo")</f>
        <v>C. Zaccardo</v>
      </c>
      <c s="30" r="I2699">
        <v>76</v>
      </c>
      <c t="s" s="30" r="J2699">
        <v>113</v>
      </c>
      <c t="s" s="30" r="K2699">
        <v>167</v>
      </c>
      <c t="s" s="30" r="L2699">
        <v>138</v>
      </c>
      <c s="30" r="M2699">
        <v>30</v>
      </c>
      <c s="26" r="N2699">
        <v>4.1</v>
      </c>
      <c s="23" r="O2699">
        <v>0.017</v>
      </c>
      <c s="7" r="P2699"/>
      <c s="7" r="Q2699"/>
      <c s="7" r="R2699">
        <f>IF((P2699&gt;0),O2699,0)</f>
        <v>0</v>
      </c>
      <c t="str" r="S2699">
        <f>CONCATENATE(F2699,E2699)</f>
        <v>NON FTLNON FTL</v>
      </c>
    </row>
    <row r="2700">
      <c t="s" s="7" r="A2700">
        <v>201</v>
      </c>
      <c s="7" r="B2700">
        <v>2727</v>
      </c>
      <c s="30" r="C2700">
        <v>11</v>
      </c>
      <c t="s" s="30" r="D2700">
        <v>136</v>
      </c>
      <c t="s" s="30" r="E2700">
        <v>4</v>
      </c>
      <c t="s" s="30" r="F2700">
        <v>4</v>
      </c>
      <c t="s" s="30" r="G2700">
        <v>297</v>
      </c>
      <c t="str" s="12" r="H2700">
        <f>HYPERLINK("http://sofifa.com/en/fifa13winter/player/146755-giampaolo-pazzini","G. Pazzini")</f>
        <v>G. Pazzini</v>
      </c>
      <c s="30" r="I2700">
        <v>82</v>
      </c>
      <c t="s" s="30" r="J2700">
        <v>129</v>
      </c>
      <c t="s" s="30" r="K2700">
        <v>114</v>
      </c>
      <c t="s" s="30" r="L2700">
        <v>160</v>
      </c>
      <c s="30" r="M2700">
        <v>28</v>
      </c>
      <c s="26" r="N2700">
        <v>15.3</v>
      </c>
      <c s="23" r="O2700">
        <v>0.055</v>
      </c>
      <c s="7" r="P2700"/>
      <c s="7" r="Q2700"/>
      <c s="7" r="R2700">
        <f>IF((P2700&gt;0),O2700,0)</f>
        <v>0</v>
      </c>
      <c t="str" r="S2700">
        <f>CONCATENATE(F2700,E2700)</f>
        <v>NON FTLNON FTL</v>
      </c>
    </row>
    <row r="2701">
      <c t="s" s="7" r="A2701">
        <v>201</v>
      </c>
      <c s="7" r="B2701">
        <v>2728</v>
      </c>
      <c s="30" r="C2701">
        <v>23</v>
      </c>
      <c t="s" s="30" r="D2701">
        <v>136</v>
      </c>
      <c t="s" s="30" r="E2701">
        <v>4</v>
      </c>
      <c t="s" s="30" r="F2701">
        <v>4</v>
      </c>
      <c t="s" s="30" r="G2701">
        <v>297</v>
      </c>
      <c t="str" s="12" r="H2701">
        <f>HYPERLINK("http://sofifa.com/en/fifa13winter/player/144133-massimo-ambrosini","M. Ambrosini")</f>
        <v>M. Ambrosini</v>
      </c>
      <c s="30" r="I2701">
        <v>77</v>
      </c>
      <c t="s" s="30" r="J2701">
        <v>154</v>
      </c>
      <c t="s" s="30" r="K2701">
        <v>143</v>
      </c>
      <c t="s" s="30" r="L2701">
        <v>146</v>
      </c>
      <c s="30" r="M2701">
        <v>35</v>
      </c>
      <c s="26" r="N2701">
        <v>3.2</v>
      </c>
      <c s="23" r="O2701">
        <v>0.021</v>
      </c>
      <c s="7" r="P2701"/>
      <c s="7" r="Q2701"/>
      <c s="7" r="R2701">
        <f>IF((P2701&gt;0),O2701,0)</f>
        <v>0</v>
      </c>
      <c t="str" r="S2701">
        <f>CONCATENATE(F2701,E2701)</f>
        <v>NON FTLNON FTL</v>
      </c>
    </row>
    <row r="2702">
      <c t="s" s="7" r="A2702">
        <v>201</v>
      </c>
      <c s="7" r="B2702">
        <v>2729</v>
      </c>
      <c s="30" r="C2702">
        <v>8</v>
      </c>
      <c t="s" s="30" r="D2702">
        <v>136</v>
      </c>
      <c t="s" s="30" r="E2702">
        <v>4</v>
      </c>
      <c t="s" s="30" r="F2702">
        <v>4</v>
      </c>
      <c t="s" s="30" r="G2702">
        <v>297</v>
      </c>
      <c t="str" s="12" r="H2702">
        <f>HYPERLINK("http://sofifa.com/en/fifa13winter/player/147005-antonio-nocerino","A. Nocerino")</f>
        <v>A. Nocerino</v>
      </c>
      <c s="30" r="I2702">
        <v>79</v>
      </c>
      <c t="s" s="30" r="J2702">
        <v>124</v>
      </c>
      <c t="s" s="30" r="K2702">
        <v>139</v>
      </c>
      <c t="s" s="30" r="L2702">
        <v>151</v>
      </c>
      <c s="30" r="M2702">
        <v>27</v>
      </c>
      <c s="26" r="N2702">
        <v>7.5</v>
      </c>
      <c s="23" r="O2702">
        <v>0.022</v>
      </c>
      <c s="7" r="P2702"/>
      <c s="7" r="Q2702"/>
      <c s="7" r="R2702">
        <f>IF((P2702&gt;0),O2702,0)</f>
        <v>0</v>
      </c>
      <c t="str" r="S2702">
        <f>CONCATENATE(F2702,E2702)</f>
        <v>NON FTLNON FTL</v>
      </c>
    </row>
    <row r="2703">
      <c t="s" s="7" r="A2703">
        <v>201</v>
      </c>
      <c s="7" r="B2703">
        <v>2730</v>
      </c>
      <c s="30" r="C2703">
        <v>7</v>
      </c>
      <c t="s" s="30" r="D2703">
        <v>136</v>
      </c>
      <c t="s" s="30" r="E2703">
        <v>4</v>
      </c>
      <c t="s" s="30" r="F2703">
        <v>4</v>
      </c>
      <c t="s" s="30" r="G2703">
        <v>297</v>
      </c>
      <c t="str" s="12" r="H2703">
        <f>HYPERLINK("http://sofifa.com/en/fifa13winter/player/146565-robson-de-souza","Robinho")</f>
        <v>Robinho</v>
      </c>
      <c s="30" r="I2703">
        <v>79</v>
      </c>
      <c t="s" s="30" r="J2703">
        <v>171</v>
      </c>
      <c t="s" s="30" r="K2703">
        <v>187</v>
      </c>
      <c t="s" s="30" r="L2703">
        <v>127</v>
      </c>
      <c s="30" r="M2703">
        <v>28</v>
      </c>
      <c s="26" r="N2703">
        <v>9.2</v>
      </c>
      <c s="23" r="O2703">
        <v>0.023</v>
      </c>
      <c s="7" r="P2703"/>
      <c s="7" r="Q2703"/>
      <c s="7" r="R2703">
        <f>IF((P2703&gt;0),O2703,0)</f>
        <v>0</v>
      </c>
      <c t="str" r="S2703">
        <f>CONCATENATE(F2703,E2703)</f>
        <v>NON FTLNON FTL</v>
      </c>
    </row>
    <row r="2704">
      <c t="s" s="7" r="A2704">
        <v>201</v>
      </c>
      <c s="7" r="B2704">
        <v>2731</v>
      </c>
      <c s="30" r="C2704">
        <v>77</v>
      </c>
      <c t="s" s="30" r="D2704">
        <v>136</v>
      </c>
      <c t="s" s="30" r="E2704">
        <v>4</v>
      </c>
      <c t="s" s="30" r="F2704">
        <v>4</v>
      </c>
      <c t="s" s="30" r="G2704">
        <v>297</v>
      </c>
      <c t="str" s="12" r="H2704">
        <f>HYPERLINK("http://sofifa.com/en/fifa13winter/player/146026-luca-antonini","L. Antonini")</f>
        <v>L. Antonini</v>
      </c>
      <c s="30" r="I2704">
        <v>76</v>
      </c>
      <c t="s" s="30" r="J2704">
        <v>117</v>
      </c>
      <c t="s" s="30" r="K2704">
        <v>143</v>
      </c>
      <c t="s" s="30" r="L2704">
        <v>122</v>
      </c>
      <c s="30" r="M2704">
        <v>30</v>
      </c>
      <c s="26" r="N2704">
        <v>3.9</v>
      </c>
      <c s="23" r="O2704">
        <v>0.017</v>
      </c>
      <c s="7" r="P2704"/>
      <c s="7" r="Q2704"/>
      <c s="7" r="R2704">
        <f>IF((P2704&gt;0),O2704,0)</f>
        <v>0</v>
      </c>
      <c t="str" r="S2704">
        <f>CONCATENATE(F2704,E2704)</f>
        <v>NON FTLNON FTL</v>
      </c>
    </row>
    <row r="2705">
      <c t="s" s="7" r="A2705">
        <v>201</v>
      </c>
      <c s="7" r="B2705">
        <v>2732</v>
      </c>
      <c s="30" r="C2705">
        <v>1</v>
      </c>
      <c t="s" s="30" r="D2705">
        <v>136</v>
      </c>
      <c t="s" s="30" r="E2705">
        <v>4</v>
      </c>
      <c t="s" s="30" r="F2705">
        <v>4</v>
      </c>
      <c t="s" s="30" r="G2705">
        <v>297</v>
      </c>
      <c t="str" s="12" r="H2705">
        <f>HYPERLINK("http://sofifa.com/en/fifa13winter/player/145902-marco-amelia","M. Amelia")</f>
        <v>M. Amelia</v>
      </c>
      <c s="30" r="I2705">
        <v>75</v>
      </c>
      <c t="s" s="30" r="J2705">
        <v>106</v>
      </c>
      <c t="s" s="30" r="K2705">
        <v>152</v>
      </c>
      <c t="s" s="30" r="L2705">
        <v>178</v>
      </c>
      <c s="30" r="M2705">
        <v>30</v>
      </c>
      <c s="26" r="N2705">
        <v>2.9</v>
      </c>
      <c s="23" r="O2705">
        <v>0.014</v>
      </c>
      <c s="7" r="P2705"/>
      <c s="7" r="Q2705"/>
      <c s="7" r="R2705">
        <f>IF((P2705&gt;0),O2705,0)</f>
        <v>0</v>
      </c>
      <c t="str" r="S2705">
        <f>CONCATENATE(F2705,E2705)</f>
        <v>NON FTLNON FTL</v>
      </c>
    </row>
    <row r="2706">
      <c t="s" s="7" r="A2706">
        <v>201</v>
      </c>
      <c s="7" r="B2706">
        <v>2733</v>
      </c>
      <c s="30" r="C2706">
        <v>59</v>
      </c>
      <c t="s" s="30" r="D2706">
        <v>147</v>
      </c>
      <c t="s" s="30" r="E2706">
        <v>4</v>
      </c>
      <c t="s" s="30" r="F2706">
        <v>4</v>
      </c>
      <c t="s" s="30" r="G2706">
        <v>297</v>
      </c>
      <c t="str" s="12" r="H2706">
        <f>HYPERLINK("http://sofifa.com/en/fifa13winter/player/149733-gabriel-vasconcellos-f","Gabriel")</f>
        <v>Gabriel</v>
      </c>
      <c s="30" r="I2706">
        <v>67</v>
      </c>
      <c t="s" s="30" r="J2706">
        <v>106</v>
      </c>
      <c t="s" s="30" r="K2706">
        <v>107</v>
      </c>
      <c t="s" s="30" r="L2706">
        <v>178</v>
      </c>
      <c s="30" r="M2706">
        <v>19</v>
      </c>
      <c s="26" r="N2706">
        <v>1.3</v>
      </c>
      <c s="23" r="O2706">
        <v>0.004</v>
      </c>
      <c s="7" r="P2706"/>
      <c s="7" r="Q2706"/>
      <c s="7" r="R2706">
        <f>IF((P2706&gt;0),O2706,0)</f>
        <v>0</v>
      </c>
      <c t="str" r="S2706">
        <f>CONCATENATE(F2706,E2706)</f>
        <v>NON FTLNON FTL</v>
      </c>
    </row>
    <row r="2707">
      <c t="s" s="7" r="A2707">
        <v>201</v>
      </c>
      <c s="7" r="B2707">
        <v>2734</v>
      </c>
      <c s="30" r="C2707">
        <v>35</v>
      </c>
      <c t="s" s="30" r="D2707">
        <v>147</v>
      </c>
      <c t="s" s="30" r="E2707">
        <v>4</v>
      </c>
      <c t="s" s="30" r="F2707">
        <v>4</v>
      </c>
      <c t="s" s="30" r="G2707">
        <v>297</v>
      </c>
      <c t="str" s="12" r="H2707">
        <f>HYPERLINK("http://sofifa.com/en/fifa13winter/player/148527-didac-vila-rosello","Dídac")</f>
        <v>Dídac</v>
      </c>
      <c s="30" r="I2707">
        <v>73</v>
      </c>
      <c t="s" s="30" r="J2707">
        <v>117</v>
      </c>
      <c t="s" s="30" r="K2707">
        <v>167</v>
      </c>
      <c t="s" s="30" r="L2707">
        <v>160</v>
      </c>
      <c s="30" r="M2707">
        <v>23</v>
      </c>
      <c s="26" r="N2707">
        <v>2.9</v>
      </c>
      <c s="23" r="O2707">
        <v>0.009</v>
      </c>
      <c s="7" r="P2707"/>
      <c s="7" r="Q2707"/>
      <c s="7" r="R2707">
        <f>IF((P2707&gt;0),O2707,0)</f>
        <v>0</v>
      </c>
      <c t="str" r="S2707">
        <f>CONCATENATE(F2707,E2707)</f>
        <v>NON FTLNON FTL</v>
      </c>
    </row>
    <row r="2708">
      <c t="s" s="7" r="A2708">
        <v>201</v>
      </c>
      <c s="7" r="B2708">
        <v>2735</v>
      </c>
      <c s="30" r="C2708">
        <v>12</v>
      </c>
      <c t="s" s="30" r="D2708">
        <v>147</v>
      </c>
      <c t="s" s="30" r="E2708">
        <v>4</v>
      </c>
      <c t="s" s="30" r="F2708">
        <v>4</v>
      </c>
      <c t="s" s="30" r="G2708">
        <v>297</v>
      </c>
      <c t="str" s="12" r="H2708">
        <f>HYPERLINK("http://sofifa.com/en/fifa13winter/player/146971-bakaye-traore","B. Traoré")</f>
        <v>B. Traoré</v>
      </c>
      <c s="30" r="I2708">
        <v>73</v>
      </c>
      <c t="s" s="30" r="J2708">
        <v>124</v>
      </c>
      <c t="s" s="30" r="K2708">
        <v>173</v>
      </c>
      <c t="s" s="30" r="L2708">
        <v>138</v>
      </c>
      <c s="30" r="M2708">
        <v>27</v>
      </c>
      <c s="26" r="N2708">
        <v>2.9</v>
      </c>
      <c s="23" r="O2708">
        <v>0.01</v>
      </c>
      <c s="7" r="P2708"/>
      <c s="7" r="Q2708"/>
      <c s="7" r="R2708">
        <f>IF((P2708&gt;0),O2708,0)</f>
        <v>0</v>
      </c>
      <c t="str" r="S2708">
        <f>CONCATENATE(F2708,E2708)</f>
        <v>NON FTLNON FTL</v>
      </c>
    </row>
    <row r="2709">
      <c t="s" s="7" r="A2709">
        <v>201</v>
      </c>
      <c s="7" r="B2709">
        <v>2736</v>
      </c>
      <c s="30" r="C2709">
        <v>14</v>
      </c>
      <c t="s" s="30" r="D2709">
        <v>147</v>
      </c>
      <c t="s" s="30" r="E2709">
        <v>4</v>
      </c>
      <c t="s" s="30" r="F2709">
        <v>4</v>
      </c>
      <c t="s" s="30" r="G2709">
        <v>297</v>
      </c>
      <c t="str" s="12" r="H2709">
        <f>HYPERLINK("http://sofifa.com/en/fifa13winter/player/149218-bartosz-salamon","B. Salamon")</f>
        <v>B. Salamon</v>
      </c>
      <c s="30" r="I2709">
        <v>69</v>
      </c>
      <c t="s" s="30" r="J2709">
        <v>113</v>
      </c>
      <c t="s" s="30" r="K2709">
        <v>152</v>
      </c>
      <c t="s" s="30" r="L2709">
        <v>158</v>
      </c>
      <c s="30" r="M2709">
        <v>21</v>
      </c>
      <c s="26" r="N2709">
        <v>1.9</v>
      </c>
      <c s="23" r="O2709">
        <v>0.006</v>
      </c>
      <c s="7" r="P2709"/>
      <c s="7" r="Q2709"/>
      <c s="7" r="R2709">
        <f>IF((P2709&gt;0),O2709,0)</f>
        <v>0</v>
      </c>
      <c t="str" r="S2709">
        <f>CONCATENATE(F2709,E2709)</f>
        <v>NON FTLNON FTL</v>
      </c>
    </row>
    <row r="2710">
      <c t="s" s="7" r="A2710">
        <v>201</v>
      </c>
      <c s="7" r="B2710">
        <v>2737</v>
      </c>
      <c s="30" r="C2710">
        <v>34</v>
      </c>
      <c t="s" s="30" r="D2710">
        <v>147</v>
      </c>
      <c t="s" s="30" r="E2710">
        <v>4</v>
      </c>
      <c t="s" s="30" r="F2710">
        <v>4</v>
      </c>
      <c t="s" s="30" r="G2710">
        <v>297</v>
      </c>
      <c t="str" s="12" r="H2710">
        <f>HYPERLINK("http://sofifa.com/en/fifa13winter/player/146875-nigel-de-jong","N. de Jong")</f>
        <v>N. de Jong</v>
      </c>
      <c s="30" r="I2710">
        <v>81</v>
      </c>
      <c t="s" s="30" r="J2710">
        <v>154</v>
      </c>
      <c t="s" s="30" r="K2710">
        <v>182</v>
      </c>
      <c t="s" s="30" r="L2710">
        <v>146</v>
      </c>
      <c s="30" r="M2710">
        <v>27</v>
      </c>
      <c s="26" r="N2710">
        <v>11.2</v>
      </c>
      <c s="23" r="O2710">
        <v>0.04</v>
      </c>
      <c s="7" r="P2710"/>
      <c s="7" r="Q2710"/>
      <c s="7" r="R2710">
        <f>IF((P2710&gt;0),O2710,0)</f>
        <v>0</v>
      </c>
      <c t="str" r="S2710">
        <f>CONCATENATE(F2710,E2710)</f>
        <v>NON FTLNON FTL</v>
      </c>
    </row>
    <row r="2711">
      <c t="s" s="7" r="A2711">
        <v>201</v>
      </c>
      <c s="7" r="B2711">
        <v>2738</v>
      </c>
      <c s="30" r="C2711">
        <v>36</v>
      </c>
      <c t="s" s="30" r="D2711">
        <v>147</v>
      </c>
      <c t="s" s="30" r="E2711">
        <v>4</v>
      </c>
      <c t="s" s="30" r="F2711">
        <v>4</v>
      </c>
      <c t="s" s="30" r="G2711">
        <v>297</v>
      </c>
      <c t="str" s="12" r="H2711">
        <f>HYPERLINK("http://sofifa.com/en/fifa13winter/player/150620-bryan-cristante","B. Cristante")</f>
        <v>B. Cristante</v>
      </c>
      <c s="30" r="I2711">
        <v>63</v>
      </c>
      <c t="s" s="30" r="J2711">
        <v>124</v>
      </c>
      <c t="s" s="30" r="K2711">
        <v>173</v>
      </c>
      <c t="s" s="30" r="L2711">
        <v>161</v>
      </c>
      <c s="30" r="M2711">
        <v>17</v>
      </c>
      <c s="26" r="N2711">
        <v>0.9</v>
      </c>
      <c s="23" r="O2711">
        <v>0.003</v>
      </c>
      <c s="7" r="P2711"/>
      <c s="7" r="Q2711"/>
      <c s="7" r="R2711">
        <f>IF((P2711&gt;0),O2711,0)</f>
        <v>0</v>
      </c>
      <c t="str" r="S2711">
        <f>CONCATENATE(F2711,E2711)</f>
        <v>NON FTLNON FTL</v>
      </c>
    </row>
    <row r="2712">
      <c t="s" s="7" r="A2712">
        <v>201</v>
      </c>
      <c s="7" r="B2712">
        <v>2739</v>
      </c>
      <c s="30" r="C2712">
        <v>1</v>
      </c>
      <c t="s" s="30" r="D2712">
        <v>106</v>
      </c>
      <c t="s" s="30" r="E2712">
        <v>4</v>
      </c>
      <c t="s" s="30" r="F2712">
        <v>4</v>
      </c>
      <c t="s" s="30" r="G2712">
        <v>298</v>
      </c>
      <c t="str" s="12" r="H2712">
        <f>HYPERLINK("http://sofifa.com/en/fifa13winter/player/146736-samir-handanovic","S. Handanovič")</f>
        <v>S. Handanovič</v>
      </c>
      <c s="30" r="I2712">
        <v>83</v>
      </c>
      <c t="s" s="30" r="J2712">
        <v>106</v>
      </c>
      <c t="s" s="30" r="K2712">
        <v>107</v>
      </c>
      <c t="s" s="30" r="L2712">
        <v>191</v>
      </c>
      <c s="30" r="M2712">
        <v>28</v>
      </c>
      <c s="26" r="N2712">
        <v>12.2</v>
      </c>
      <c s="23" r="O2712">
        <v>0.071</v>
      </c>
      <c s="7" r="P2712"/>
      <c s="7" r="Q2712"/>
      <c s="7" r="R2712">
        <f>IF((P2712&gt;0),O2712,0)</f>
        <v>0</v>
      </c>
      <c t="str" r="S2712">
        <f>CONCATENATE(F2712,E2712)</f>
        <v>NON FTLNON FTL</v>
      </c>
    </row>
    <row r="2713">
      <c t="s" s="7" r="A2713">
        <v>201</v>
      </c>
      <c s="7" r="B2713">
        <v>2740</v>
      </c>
      <c s="30" r="C2713">
        <v>23</v>
      </c>
      <c t="s" s="30" r="D2713">
        <v>112</v>
      </c>
      <c t="s" s="30" r="E2713">
        <v>4</v>
      </c>
      <c t="s" s="30" r="F2713">
        <v>4</v>
      </c>
      <c t="s" s="30" r="G2713">
        <v>298</v>
      </c>
      <c t="str" s="12" r="H2713">
        <f>HYPERLINK("http://sofifa.com/en/fifa13winter/player/148048-andrea-ranocchia","A. Ranocchia")</f>
        <v>A. Ranocchia</v>
      </c>
      <c s="30" r="I2713">
        <v>81</v>
      </c>
      <c t="s" s="30" r="J2713">
        <v>113</v>
      </c>
      <c t="s" s="30" r="K2713">
        <v>176</v>
      </c>
      <c t="s" s="30" r="L2713">
        <v>183</v>
      </c>
      <c s="30" r="M2713">
        <v>24</v>
      </c>
      <c s="26" r="N2713">
        <v>12.7</v>
      </c>
      <c s="23" r="O2713">
        <v>0.04</v>
      </c>
      <c s="7" r="P2713"/>
      <c s="7" r="Q2713"/>
      <c s="7" r="R2713">
        <f>IF((P2713&gt;0),O2713,0)</f>
        <v>0</v>
      </c>
      <c t="str" r="S2713">
        <f>CONCATENATE(F2713,E2713)</f>
        <v>NON FTLNON FTL</v>
      </c>
    </row>
    <row r="2714">
      <c t="s" s="7" r="A2714">
        <v>201</v>
      </c>
      <c s="7" r="B2714">
        <v>2741</v>
      </c>
      <c s="30" r="C2714">
        <v>25</v>
      </c>
      <c t="s" s="30" r="D2714">
        <v>113</v>
      </c>
      <c t="s" s="30" r="E2714">
        <v>4</v>
      </c>
      <c t="s" s="30" r="F2714">
        <v>4</v>
      </c>
      <c t="s" s="30" r="G2714">
        <v>298</v>
      </c>
      <c t="str" s="12" r="H2714">
        <f>HYPERLINK("http://sofifa.com/en/fifa13winter/player/144431-walter-samuel","W. Samuel")</f>
        <v>W. Samuel</v>
      </c>
      <c s="30" r="I2714">
        <v>83</v>
      </c>
      <c t="s" s="30" r="J2714">
        <v>113</v>
      </c>
      <c t="s" s="30" r="K2714">
        <v>110</v>
      </c>
      <c t="s" s="30" r="L2714">
        <v>108</v>
      </c>
      <c s="30" r="M2714">
        <v>34</v>
      </c>
      <c s="26" r="N2714">
        <v>12</v>
      </c>
      <c s="23" r="O2714">
        <v>0.087</v>
      </c>
      <c s="7" r="P2714"/>
      <c s="7" r="Q2714"/>
      <c s="7" r="R2714">
        <f>IF((P2714&gt;0),O2714,0)</f>
        <v>0</v>
      </c>
      <c t="str" r="S2714">
        <f>CONCATENATE(F2714,E2714)</f>
        <v>NON FTLNON FTL</v>
      </c>
    </row>
    <row r="2715">
      <c t="s" s="7" r="A2715">
        <v>201</v>
      </c>
      <c s="7" r="B2715">
        <v>2742</v>
      </c>
      <c s="30" r="C2715">
        <v>40</v>
      </c>
      <c t="s" s="30" r="D2715">
        <v>116</v>
      </c>
      <c t="s" s="30" r="E2715">
        <v>4</v>
      </c>
      <c t="s" s="30" r="F2715">
        <v>4</v>
      </c>
      <c t="s" s="30" r="G2715">
        <v>298</v>
      </c>
      <c t="str" s="12" r="H2715">
        <f>HYPERLINK("http://sofifa.com/en/fifa13winter/player/149258-juan-guilherme-nunes-jesus","Juan Jesus")</f>
        <v>Juan Jesus</v>
      </c>
      <c s="30" r="I2715">
        <v>78</v>
      </c>
      <c t="s" s="30" r="J2715">
        <v>113</v>
      </c>
      <c t="s" s="30" r="K2715">
        <v>132</v>
      </c>
      <c t="s" s="30" r="L2715">
        <v>108</v>
      </c>
      <c s="30" r="M2715">
        <v>21</v>
      </c>
      <c s="26" r="N2715">
        <v>7</v>
      </c>
      <c s="23" r="O2715">
        <v>0.017</v>
      </c>
      <c s="7" r="P2715"/>
      <c s="7" r="Q2715"/>
      <c s="7" r="R2715">
        <f>IF((P2715&gt;0),O2715,0)</f>
        <v>0</v>
      </c>
      <c t="str" r="S2715">
        <f>CONCATENATE(F2715,E2715)</f>
        <v>NON FTLNON FTL</v>
      </c>
    </row>
    <row r="2716">
      <c t="s" s="7" r="A2716">
        <v>201</v>
      </c>
      <c s="7" r="B2716">
        <v>2743</v>
      </c>
      <c s="30" r="C2716">
        <v>11</v>
      </c>
      <c t="s" s="30" r="D2716">
        <v>120</v>
      </c>
      <c t="s" s="30" r="E2716">
        <v>4</v>
      </c>
      <c t="s" s="30" r="F2716">
        <v>4</v>
      </c>
      <c t="s" s="30" r="G2716">
        <v>298</v>
      </c>
      <c t="str" s="12" r="H2716">
        <f>HYPERLINK("http://sofifa.com/en/fifa13winter/player/148104-ricardo-alvarez","R. Álvarez")</f>
        <v>R. Álvarez</v>
      </c>
      <c s="30" r="I2716">
        <v>77</v>
      </c>
      <c t="s" s="30" r="J2716">
        <v>162</v>
      </c>
      <c t="s" s="30" r="K2716">
        <v>134</v>
      </c>
      <c t="s" s="30" r="L2716">
        <v>156</v>
      </c>
      <c s="30" r="M2716">
        <v>24</v>
      </c>
      <c s="26" r="N2716">
        <v>6.7</v>
      </c>
      <c s="23" r="O2716">
        <v>0.017</v>
      </c>
      <c s="7" r="P2716"/>
      <c s="7" r="Q2716"/>
      <c s="7" r="R2716">
        <f>IF((P2716&gt;0),O2716,0)</f>
        <v>0</v>
      </c>
      <c t="str" r="S2716">
        <f>CONCATENATE(F2716,E2716)</f>
        <v>NON FTLNON FTL</v>
      </c>
    </row>
    <row r="2717">
      <c t="s" s="7" r="A2717">
        <v>201</v>
      </c>
      <c s="7" r="B2717">
        <v>2744</v>
      </c>
      <c s="30" r="C2717">
        <v>10</v>
      </c>
      <c t="s" s="30" r="D2717">
        <v>123</v>
      </c>
      <c t="s" s="30" r="E2717">
        <v>4</v>
      </c>
      <c t="s" s="30" r="F2717">
        <v>4</v>
      </c>
      <c t="s" s="30" r="G2717">
        <v>298</v>
      </c>
      <c t="str" s="12" r="H2717">
        <f>HYPERLINK("http://sofifa.com/en/fifa13winter/player/150319-mateo-kovacic","M. Kovačić")</f>
        <v>M. Kovačić</v>
      </c>
      <c s="30" r="I2717">
        <v>77</v>
      </c>
      <c t="s" s="30" r="J2717">
        <v>124</v>
      </c>
      <c t="s" s="30" r="K2717">
        <v>150</v>
      </c>
      <c t="s" s="30" r="L2717">
        <v>151</v>
      </c>
      <c s="30" r="M2717">
        <v>18</v>
      </c>
      <c s="26" r="N2717">
        <v>6.6</v>
      </c>
      <c s="23" r="O2717">
        <v>0.013</v>
      </c>
      <c s="7" r="P2717"/>
      <c s="7" r="Q2717"/>
      <c s="7" r="R2717">
        <f>IF((P2717&gt;0),O2717,0)</f>
        <v>0</v>
      </c>
      <c t="str" r="S2717">
        <f>CONCATENATE(F2717,E2717)</f>
        <v>NON FTLNON FTL</v>
      </c>
    </row>
    <row r="2718">
      <c t="s" s="7" r="A2718">
        <v>201</v>
      </c>
      <c s="7" r="B2718">
        <v>2745</v>
      </c>
      <c s="30" r="C2718">
        <v>19</v>
      </c>
      <c t="s" s="30" r="D2718">
        <v>126</v>
      </c>
      <c t="s" s="30" r="E2718">
        <v>4</v>
      </c>
      <c t="s" s="30" r="F2718">
        <v>4</v>
      </c>
      <c t="s" s="30" r="G2718">
        <v>298</v>
      </c>
      <c t="str" s="12" r="H2718">
        <f>HYPERLINK("http://sofifa.com/en/fifa13winter/player/145310-esteban-cambiasso","E. Cambiasso")</f>
        <v>E. Cambiasso</v>
      </c>
      <c s="30" r="I2718">
        <v>79</v>
      </c>
      <c t="s" s="30" r="J2718">
        <v>154</v>
      </c>
      <c t="s" s="30" r="K2718">
        <v>159</v>
      </c>
      <c t="s" s="30" r="L2718">
        <v>161</v>
      </c>
      <c s="30" r="M2718">
        <v>32</v>
      </c>
      <c s="26" r="N2718">
        <v>5.1</v>
      </c>
      <c s="23" r="O2718">
        <v>0.026</v>
      </c>
      <c s="7" r="P2718"/>
      <c s="7" r="Q2718"/>
      <c s="7" r="R2718">
        <f>IF((P2718&gt;0),O2718,0)</f>
        <v>0</v>
      </c>
      <c t="str" r="S2718">
        <f>CONCATENATE(F2718,E2718)</f>
        <v>NON FTLNON FTL</v>
      </c>
    </row>
    <row r="2719">
      <c t="s" s="7" r="A2719">
        <v>201</v>
      </c>
      <c s="7" r="B2719">
        <v>2746</v>
      </c>
      <c s="30" r="C2719">
        <v>31</v>
      </c>
      <c t="s" s="30" r="D2719">
        <v>128</v>
      </c>
      <c t="s" s="30" r="E2719">
        <v>4</v>
      </c>
      <c t="s" s="30" r="F2719">
        <v>4</v>
      </c>
      <c t="s" s="30" r="G2719">
        <v>298</v>
      </c>
      <c t="str" s="12" r="H2719">
        <f>HYPERLINK("http://sofifa.com/en/fifa13winter/player/147238-alvaro-pereira","A. Pereira")</f>
        <v>A. Pereira</v>
      </c>
      <c s="30" r="I2719">
        <v>79</v>
      </c>
      <c t="s" s="30" r="J2719">
        <v>128</v>
      </c>
      <c t="s" s="30" r="K2719">
        <v>114</v>
      </c>
      <c t="s" s="30" r="L2719">
        <v>161</v>
      </c>
      <c s="30" r="M2719">
        <v>26</v>
      </c>
      <c s="26" r="N2719">
        <v>7.4</v>
      </c>
      <c s="23" r="O2719">
        <v>0.022</v>
      </c>
      <c s="7" r="P2719"/>
      <c s="7" r="Q2719"/>
      <c s="7" r="R2719">
        <f>IF((P2719&gt;0),O2719,0)</f>
        <v>0</v>
      </c>
      <c t="str" r="S2719">
        <f>CONCATENATE(F2719,E2719)</f>
        <v>NON FTLNON FTL</v>
      </c>
    </row>
    <row r="2720">
      <c t="s" s="7" r="A2720">
        <v>201</v>
      </c>
      <c s="7" r="B2720">
        <v>2747</v>
      </c>
      <c s="30" r="C2720">
        <v>14</v>
      </c>
      <c t="s" s="30" r="D2720">
        <v>162</v>
      </c>
      <c t="s" s="30" r="E2720">
        <v>4</v>
      </c>
      <c t="s" s="30" r="F2720">
        <v>4</v>
      </c>
      <c t="s" s="30" r="G2720">
        <v>298</v>
      </c>
      <c t="str" s="12" r="H2720">
        <f>HYPERLINK("http://sofifa.com/en/fifa13winter/player/147452-fredy-guarin","F. Guarín")</f>
        <v>F. Guarín</v>
      </c>
      <c s="30" r="I2720">
        <v>82</v>
      </c>
      <c t="s" s="30" r="J2720">
        <v>124</v>
      </c>
      <c t="s" s="30" r="K2720">
        <v>110</v>
      </c>
      <c t="s" s="30" r="L2720">
        <v>138</v>
      </c>
      <c s="30" r="M2720">
        <v>26</v>
      </c>
      <c s="26" r="N2720">
        <v>14.1</v>
      </c>
      <c s="23" r="O2720">
        <v>0.053</v>
      </c>
      <c s="7" r="P2720"/>
      <c s="7" r="Q2720"/>
      <c s="7" r="R2720">
        <f>IF((P2720&gt;0),O2720,0)</f>
        <v>0</v>
      </c>
      <c t="str" r="S2720">
        <f>CONCATENATE(F2720,E2720)</f>
        <v>NON FTLNON FTL</v>
      </c>
    </row>
    <row r="2721">
      <c t="s" s="7" r="A2721">
        <v>201</v>
      </c>
      <c s="7" r="B2721">
        <v>2748</v>
      </c>
      <c s="30" r="C2721">
        <v>8</v>
      </c>
      <c t="s" s="30" r="D2721">
        <v>131</v>
      </c>
      <c t="s" s="30" r="E2721">
        <v>4</v>
      </c>
      <c t="s" s="30" r="F2721">
        <v>4</v>
      </c>
      <c t="s" s="30" r="G2721">
        <v>298</v>
      </c>
      <c t="str" s="12" r="H2721">
        <f>HYPERLINK("http://sofifa.com/en/fifa13winter/player/145846-rodrigo-palacio","R. Palacio")</f>
        <v>R. Palacio</v>
      </c>
      <c s="30" r="I2721">
        <v>82</v>
      </c>
      <c t="s" s="30" r="J2721">
        <v>129</v>
      </c>
      <c t="s" s="30" r="K2721">
        <v>139</v>
      </c>
      <c t="s" s="30" r="L2721">
        <v>122</v>
      </c>
      <c s="30" r="M2721">
        <v>30</v>
      </c>
      <c s="26" r="N2721">
        <v>14.7</v>
      </c>
      <c s="23" r="O2721">
        <v>0.059</v>
      </c>
      <c s="7" r="P2721"/>
      <c s="7" r="Q2721"/>
      <c s="7" r="R2721">
        <f>IF((P2721&gt;0),O2721,0)</f>
        <v>0</v>
      </c>
      <c t="str" r="S2721">
        <f>CONCATENATE(F2721,E2721)</f>
        <v>NON FTLNON FTL</v>
      </c>
    </row>
    <row r="2722">
      <c t="s" s="7" r="A2722">
        <v>201</v>
      </c>
      <c s="7" r="B2722">
        <v>2749</v>
      </c>
      <c s="30" r="C2722">
        <v>99</v>
      </c>
      <c t="s" s="30" r="D2722">
        <v>133</v>
      </c>
      <c t="s" s="30" r="E2722">
        <v>4</v>
      </c>
      <c t="s" s="30" r="F2722">
        <v>4</v>
      </c>
      <c t="s" s="30" r="G2722">
        <v>298</v>
      </c>
      <c t="str" s="12" r="H2722">
        <f>HYPERLINK("http://sofifa.com/en/fifa13winter/player/146003-antonio-cassano","A. Cassano")</f>
        <v>A. Cassano</v>
      </c>
      <c s="30" r="I2722">
        <v>83</v>
      </c>
      <c t="s" s="30" r="J2722">
        <v>171</v>
      </c>
      <c t="s" s="30" r="K2722">
        <v>139</v>
      </c>
      <c t="s" s="30" r="L2722">
        <v>161</v>
      </c>
      <c s="30" r="M2722">
        <v>30</v>
      </c>
      <c s="26" r="N2722">
        <v>18.9</v>
      </c>
      <c s="23" r="O2722">
        <v>0.076</v>
      </c>
      <c s="7" r="P2722"/>
      <c s="7" r="Q2722"/>
      <c s="7" r="R2722">
        <f>IF((P2722&gt;0),O2722,0)</f>
        <v>0</v>
      </c>
      <c t="str" r="S2722">
        <f>CONCATENATE(F2722,E2722)</f>
        <v>NON FTLNON FTL</v>
      </c>
    </row>
    <row r="2723">
      <c t="s" s="7" r="A2723">
        <v>201</v>
      </c>
      <c s="7" r="B2723">
        <v>2750</v>
      </c>
      <c s="30" r="C2723">
        <v>7</v>
      </c>
      <c t="s" s="30" r="D2723">
        <v>136</v>
      </c>
      <c t="s" s="30" r="E2723">
        <v>4</v>
      </c>
      <c t="s" s="30" r="F2723">
        <v>4</v>
      </c>
      <c t="s" s="30" r="G2723">
        <v>298</v>
      </c>
      <c t="str" s="12" r="H2723">
        <f>HYPERLINK("http://sofifa.com/en/fifa13winter/player/148510-ezequiel-schelotto","E. Schelotto")</f>
        <v>E. Schelotto</v>
      </c>
      <c s="30" r="I2723">
        <v>75</v>
      </c>
      <c t="s" s="30" r="J2723">
        <v>120</v>
      </c>
      <c t="s" s="30" r="K2723">
        <v>155</v>
      </c>
      <c t="s" s="30" r="L2723">
        <v>137</v>
      </c>
      <c s="30" r="M2723">
        <v>23</v>
      </c>
      <c s="26" r="N2723">
        <v>4.5</v>
      </c>
      <c s="23" r="O2723">
        <v>0.012</v>
      </c>
      <c s="7" r="P2723"/>
      <c s="7" r="Q2723"/>
      <c s="7" r="R2723">
        <f>IF((P2723&gt;0),O2723,0)</f>
        <v>0</v>
      </c>
      <c t="str" r="S2723">
        <f>CONCATENATE(F2723,E2723)</f>
        <v>NON FTLNON FTL</v>
      </c>
    </row>
    <row r="2724">
      <c t="s" s="7" r="A2724">
        <v>201</v>
      </c>
      <c s="7" r="B2724">
        <v>2751</v>
      </c>
      <c s="30" r="C2724">
        <v>21</v>
      </c>
      <c t="s" s="30" r="D2724">
        <v>136</v>
      </c>
      <c t="s" s="30" r="E2724">
        <v>4</v>
      </c>
      <c t="s" s="30" r="F2724">
        <v>4</v>
      </c>
      <c t="s" s="30" r="G2724">
        <v>298</v>
      </c>
      <c t="str" s="12" r="H2724">
        <f>HYPERLINK("http://sofifa.com/en/fifa13winter/player/146745-walter-gargano","W. Gargano")</f>
        <v>W. Gargano</v>
      </c>
      <c s="30" r="I2724">
        <v>77</v>
      </c>
      <c t="s" s="30" r="J2724">
        <v>154</v>
      </c>
      <c t="s" s="30" r="K2724">
        <v>148</v>
      </c>
      <c t="s" s="30" r="L2724">
        <v>149</v>
      </c>
      <c s="30" r="M2724">
        <v>28</v>
      </c>
      <c s="26" r="N2724">
        <v>5</v>
      </c>
      <c s="23" r="O2724">
        <v>0.017</v>
      </c>
      <c s="7" r="P2724"/>
      <c s="7" r="Q2724"/>
      <c s="7" r="R2724">
        <f>IF((P2724&gt;0),O2724,0)</f>
        <v>0</v>
      </c>
      <c t="str" r="S2724">
        <f>CONCATENATE(F2724,E2724)</f>
        <v>NON FTLNON FTL</v>
      </c>
    </row>
    <row r="2725">
      <c t="s" s="7" r="A2725">
        <v>201</v>
      </c>
      <c s="7" r="B2725">
        <v>2752</v>
      </c>
      <c s="30" r="C2725">
        <v>20</v>
      </c>
      <c t="s" s="30" r="D2725">
        <v>136</v>
      </c>
      <c t="s" s="30" r="E2725">
        <v>4</v>
      </c>
      <c t="s" s="30" r="F2725">
        <v>4</v>
      </c>
      <c t="s" s="30" r="G2725">
        <v>298</v>
      </c>
      <c t="str" s="12" r="H2725">
        <f>HYPERLINK("http://sofifa.com/en/fifa13winter/player/149239-joel-obi","J. Obi")</f>
        <v>J. Obi</v>
      </c>
      <c s="30" r="I2725">
        <v>74</v>
      </c>
      <c t="s" s="30" r="J2725">
        <v>124</v>
      </c>
      <c t="s" s="30" r="K2725">
        <v>159</v>
      </c>
      <c t="s" s="30" r="L2725">
        <v>146</v>
      </c>
      <c s="30" r="M2725">
        <v>21</v>
      </c>
      <c s="26" r="N2725">
        <v>3.7</v>
      </c>
      <c s="23" r="O2725">
        <v>0.009</v>
      </c>
      <c s="7" r="P2725"/>
      <c s="7" r="Q2725"/>
      <c s="7" r="R2725">
        <f>IF((P2725&gt;0),O2725,0)</f>
        <v>0</v>
      </c>
      <c t="str" r="S2725">
        <f>CONCATENATE(F2725,E2725)</f>
        <v>NON FTLNON FTL</v>
      </c>
    </row>
    <row r="2726">
      <c t="s" s="7" r="A2726">
        <v>201</v>
      </c>
      <c s="7" r="B2726">
        <v>2753</v>
      </c>
      <c s="30" r="C2726">
        <v>55</v>
      </c>
      <c t="s" s="30" r="D2726">
        <v>136</v>
      </c>
      <c t="s" s="30" r="E2726">
        <v>4</v>
      </c>
      <c t="s" s="30" r="F2726">
        <v>4</v>
      </c>
      <c t="s" s="30" r="G2726">
        <v>298</v>
      </c>
      <c t="str" s="12" r="H2726">
        <f>HYPERLINK("http://sofifa.com/en/fifa13winter/player/147526-yuto-nagatomo","Y. Nagatomo")</f>
        <v>Y. Nagatomo</v>
      </c>
      <c s="30" r="I2726">
        <v>78</v>
      </c>
      <c t="s" s="30" r="J2726">
        <v>128</v>
      </c>
      <c t="s" s="30" r="K2726">
        <v>121</v>
      </c>
      <c t="s" s="30" r="L2726">
        <v>115</v>
      </c>
      <c s="30" r="M2726">
        <v>25</v>
      </c>
      <c s="26" r="N2726">
        <v>7.1</v>
      </c>
      <c s="23" r="O2726">
        <v>0.019</v>
      </c>
      <c s="7" r="P2726"/>
      <c s="7" r="Q2726"/>
      <c s="7" r="R2726">
        <f>IF((P2726&gt;0),O2726,0)</f>
        <v>0</v>
      </c>
      <c t="str" r="S2726">
        <f>CONCATENATE(F2726,E2726)</f>
        <v>NON FTLNON FTL</v>
      </c>
    </row>
    <row r="2727">
      <c t="s" s="7" r="A2727">
        <v>201</v>
      </c>
      <c s="7" r="B2727">
        <v>2754</v>
      </c>
      <c s="30" r="C2727">
        <v>24</v>
      </c>
      <c t="s" s="30" r="D2727">
        <v>136</v>
      </c>
      <c t="s" s="30" r="E2727">
        <v>4</v>
      </c>
      <c t="s" s="30" r="F2727">
        <v>4</v>
      </c>
      <c t="s" s="30" r="G2727">
        <v>298</v>
      </c>
      <c t="str" s="12" r="H2727">
        <f>HYPERLINK("http://sofifa.com/en/fifa13winter/player/150318-marco-benassi","M. Benassi")</f>
        <v>M. Benassi</v>
      </c>
      <c s="30" r="I2727">
        <v>69</v>
      </c>
      <c t="s" s="30" r="J2727">
        <v>124</v>
      </c>
      <c t="s" s="30" r="K2727">
        <v>110</v>
      </c>
      <c t="s" s="30" r="L2727">
        <v>153</v>
      </c>
      <c s="30" r="M2727">
        <v>18</v>
      </c>
      <c s="26" r="N2727">
        <v>2</v>
      </c>
      <c s="23" r="O2727">
        <v>0.005</v>
      </c>
      <c s="7" r="P2727"/>
      <c s="7" r="Q2727"/>
      <c s="7" r="R2727">
        <f>IF((P2727&gt;0),O2727,0)</f>
        <v>0</v>
      </c>
      <c t="str" r="S2727">
        <f>CONCATENATE(F2727,E2727)</f>
        <v>NON FTLNON FTL</v>
      </c>
    </row>
    <row r="2728">
      <c t="s" s="7" r="A2728">
        <v>201</v>
      </c>
      <c s="7" r="B2728">
        <v>2755</v>
      </c>
      <c s="30" r="C2728">
        <v>17</v>
      </c>
      <c t="s" s="30" r="D2728">
        <v>136</v>
      </c>
      <c t="s" s="30" r="E2728">
        <v>4</v>
      </c>
      <c t="s" s="30" r="F2728">
        <v>4</v>
      </c>
      <c t="s" s="30" r="G2728">
        <v>298</v>
      </c>
      <c t="str" s="12" r="H2728">
        <f>HYPERLINK("http://sofifa.com/en/fifa13winter/player/147901-zdravko-kuzmanovic","Z. Kuzmanović")</f>
        <v>Z. Kuzmanović</v>
      </c>
      <c s="30" r="I2728">
        <v>76</v>
      </c>
      <c t="s" s="30" r="J2728">
        <v>154</v>
      </c>
      <c t="s" s="30" r="K2728">
        <v>173</v>
      </c>
      <c t="s" s="30" r="L2728">
        <v>158</v>
      </c>
      <c s="30" r="M2728">
        <v>24</v>
      </c>
      <c s="26" r="N2728">
        <v>5</v>
      </c>
      <c s="23" r="O2728">
        <v>0.015</v>
      </c>
      <c s="7" r="P2728"/>
      <c s="7" r="Q2728"/>
      <c s="7" r="R2728">
        <f>IF((P2728&gt;0),O2728,0)</f>
        <v>0</v>
      </c>
      <c t="str" r="S2728">
        <f>CONCATENATE(F2728,E2728)</f>
        <v>NON FTLNON FTL</v>
      </c>
    </row>
    <row r="2729">
      <c t="s" s="7" r="A2729">
        <v>201</v>
      </c>
      <c s="7" r="B2729">
        <v>2756</v>
      </c>
      <c s="30" r="C2729">
        <v>26</v>
      </c>
      <c t="s" s="30" r="D2729">
        <v>136</v>
      </c>
      <c t="s" s="30" r="E2729">
        <v>4</v>
      </c>
      <c t="s" s="30" r="F2729">
        <v>4</v>
      </c>
      <c t="s" s="30" r="G2729">
        <v>298</v>
      </c>
      <c t="str" s="12" r="H2729">
        <f>HYPERLINK("http://sofifa.com/en/fifa13winter/player/145379-cristian-chivu","C. Chivu")</f>
        <v>C. Chivu</v>
      </c>
      <c s="30" r="I2729">
        <v>80</v>
      </c>
      <c t="s" s="30" r="J2729">
        <v>113</v>
      </c>
      <c t="s" s="30" r="K2729">
        <v>167</v>
      </c>
      <c t="s" s="30" r="L2729">
        <v>183</v>
      </c>
      <c s="30" r="M2729">
        <v>31</v>
      </c>
      <c s="26" r="N2729">
        <v>7.6</v>
      </c>
      <c s="23" r="O2729">
        <v>0.035</v>
      </c>
      <c s="7" r="P2729"/>
      <c s="7" r="Q2729"/>
      <c s="7" r="R2729">
        <f>IF((P2729&gt;0),O2729,0)</f>
        <v>0</v>
      </c>
      <c t="str" r="S2729">
        <f>CONCATENATE(F2729,E2729)</f>
        <v>NON FTLNON FTL</v>
      </c>
    </row>
    <row r="2730">
      <c t="s" s="7" r="A2730">
        <v>201</v>
      </c>
      <c s="7" r="B2730">
        <v>2757</v>
      </c>
      <c s="30" r="C2730">
        <v>5</v>
      </c>
      <c t="s" s="30" r="D2730">
        <v>136</v>
      </c>
      <c t="s" s="30" r="E2730">
        <v>4</v>
      </c>
      <c t="s" s="30" r="F2730">
        <v>4</v>
      </c>
      <c t="s" s="30" r="G2730">
        <v>298</v>
      </c>
      <c t="str" s="12" r="H2730">
        <f>HYPERLINK("http://sofifa.com/en/fifa13winter/player/144603-dejan-stankovic","D. Stanković")</f>
        <v>D. Stanković</v>
      </c>
      <c s="30" r="I2730">
        <v>78</v>
      </c>
      <c t="s" s="30" r="J2730">
        <v>124</v>
      </c>
      <c t="s" s="30" r="K2730">
        <v>150</v>
      </c>
      <c t="s" s="30" r="L2730">
        <v>151</v>
      </c>
      <c s="30" r="M2730">
        <v>33</v>
      </c>
      <c s="26" r="N2730">
        <v>4.8</v>
      </c>
      <c s="23" r="O2730">
        <v>0.023</v>
      </c>
      <c s="7" r="P2730"/>
      <c s="7" r="Q2730"/>
      <c s="7" r="R2730">
        <f>IF((P2730&gt;0),O2730,0)</f>
        <v>0</v>
      </c>
      <c t="str" r="S2730">
        <f>CONCATENATE(F2730,E2730)</f>
        <v>NON FTLNON FTL</v>
      </c>
    </row>
    <row r="2731">
      <c t="s" s="7" r="A2731">
        <v>201</v>
      </c>
      <c s="7" r="B2731">
        <v>2758</v>
      </c>
      <c s="30" r="C2731">
        <v>18</v>
      </c>
      <c t="s" s="30" r="D2731">
        <v>136</v>
      </c>
      <c t="s" s="30" r="E2731">
        <v>4</v>
      </c>
      <c t="s" s="30" r="F2731">
        <v>4</v>
      </c>
      <c t="s" s="30" r="G2731">
        <v>298</v>
      </c>
      <c t="str" s="12" r="H2731">
        <f>HYPERLINK("http://sofifa.com/en/fifa13winter/player/144246-tommaso-rocchi","T. Rocchi")</f>
        <v>T. Rocchi</v>
      </c>
      <c s="30" r="I2731">
        <v>76</v>
      </c>
      <c t="s" s="30" r="J2731">
        <v>129</v>
      </c>
      <c t="s" s="30" r="K2731">
        <v>159</v>
      </c>
      <c t="s" s="30" r="L2731">
        <v>151</v>
      </c>
      <c s="30" r="M2731">
        <v>34</v>
      </c>
      <c s="26" r="N2731">
        <v>3.8</v>
      </c>
      <c s="23" r="O2731">
        <v>0.019</v>
      </c>
      <c s="7" r="P2731"/>
      <c s="7" r="Q2731"/>
      <c s="7" r="R2731">
        <f>IF((P2731&gt;0),O2731,0)</f>
        <v>0</v>
      </c>
      <c t="str" r="S2731">
        <f>CONCATENATE(F2731,E2731)</f>
        <v>NON FTLNON FTL</v>
      </c>
    </row>
    <row r="2732">
      <c t="s" s="7" r="A2732">
        <v>201</v>
      </c>
      <c s="7" r="B2732">
        <v>2759</v>
      </c>
      <c s="30" r="C2732">
        <v>6</v>
      </c>
      <c t="s" s="30" r="D2732">
        <v>136</v>
      </c>
      <c t="s" s="30" r="E2732">
        <v>4</v>
      </c>
      <c t="s" s="30" r="F2732">
        <v>4</v>
      </c>
      <c t="s" s="30" r="G2732">
        <v>298</v>
      </c>
      <c t="str" s="12" r="H2732">
        <f>HYPERLINK("http://sofifa.com/en/fifa13winter/player/146809-matias-silvestre","M. Silvestre")</f>
        <v>M. Silvestre</v>
      </c>
      <c s="30" r="I2732">
        <v>76</v>
      </c>
      <c t="s" s="30" r="J2732">
        <v>113</v>
      </c>
      <c t="s" s="30" r="K2732">
        <v>132</v>
      </c>
      <c t="s" s="30" r="L2732">
        <v>161</v>
      </c>
      <c s="30" r="M2732">
        <v>27</v>
      </c>
      <c s="26" r="N2732">
        <v>4.7</v>
      </c>
      <c s="23" r="O2732">
        <v>0.015</v>
      </c>
      <c s="7" r="P2732"/>
      <c s="7" r="Q2732"/>
      <c s="7" r="R2732">
        <f>IF((P2732&gt;0),O2732,0)</f>
        <v>0</v>
      </c>
      <c t="str" r="S2732">
        <f>CONCATENATE(F2732,E2732)</f>
        <v>NON FTLNON FTL</v>
      </c>
    </row>
    <row r="2733">
      <c t="s" s="7" r="A2733">
        <v>201</v>
      </c>
      <c s="7" r="B2733">
        <v>2760</v>
      </c>
      <c s="30" r="C2733">
        <v>42</v>
      </c>
      <c t="s" s="30" r="D2733">
        <v>136</v>
      </c>
      <c t="s" s="30" r="E2733">
        <v>4</v>
      </c>
      <c t="s" s="30" r="F2733">
        <v>4</v>
      </c>
      <c t="s" s="30" r="G2733">
        <v>298</v>
      </c>
      <c t="str" s="12" r="H2733">
        <f>HYPERLINK("http://sofifa.com/en/fifa13winter/player/147329-jonathan-cicero-moreira","Jonathan")</f>
        <v>Jonathan</v>
      </c>
      <c s="30" r="I2733">
        <v>72</v>
      </c>
      <c t="s" s="30" r="J2733">
        <v>109</v>
      </c>
      <c t="s" s="30" r="K2733">
        <v>121</v>
      </c>
      <c t="s" s="30" r="L2733">
        <v>146</v>
      </c>
      <c s="30" r="M2733">
        <v>26</v>
      </c>
      <c s="26" r="N2733">
        <v>2.4</v>
      </c>
      <c s="23" r="O2733">
        <v>0.009</v>
      </c>
      <c s="7" r="P2733"/>
      <c s="7" r="Q2733"/>
      <c s="7" r="R2733">
        <f>IF((P2733&gt;0),O2733,0)</f>
        <v>0</v>
      </c>
      <c t="str" r="S2733">
        <f>CONCATENATE(F2733,E2733)</f>
        <v>NON FTLNON FTL</v>
      </c>
    </row>
    <row r="2734">
      <c t="s" s="7" r="A2734">
        <v>201</v>
      </c>
      <c s="7" r="B2734">
        <v>2761</v>
      </c>
      <c s="30" r="C2734">
        <v>30</v>
      </c>
      <c t="s" s="30" r="D2734">
        <v>136</v>
      </c>
      <c t="s" s="30" r="E2734">
        <v>4</v>
      </c>
      <c t="s" s="30" r="F2734">
        <v>4</v>
      </c>
      <c t="s" s="30" r="G2734">
        <v>298</v>
      </c>
      <c t="str" s="12" r="H2734">
        <f>HYPERLINK("http://sofifa.com/en/fifa13winter/player/146667-juan-pablo-carrizo","J. Carrizo")</f>
        <v>J. Carrizo</v>
      </c>
      <c s="30" r="I2734">
        <v>76</v>
      </c>
      <c t="s" s="30" r="J2734">
        <v>106</v>
      </c>
      <c t="s" s="30" r="K2734">
        <v>155</v>
      </c>
      <c t="s" s="30" r="L2734">
        <v>192</v>
      </c>
      <c s="30" r="M2734">
        <v>28</v>
      </c>
      <c s="26" r="N2734">
        <v>3.9</v>
      </c>
      <c s="23" r="O2734">
        <v>0.015</v>
      </c>
      <c s="7" r="P2734"/>
      <c s="7" r="Q2734"/>
      <c s="7" r="R2734">
        <f>IF((P2734&gt;0),O2734,0)</f>
        <v>0</v>
      </c>
      <c t="str" r="S2734">
        <f>CONCATENATE(F2734,E2734)</f>
        <v>NON FTLNON FTL</v>
      </c>
    </row>
    <row r="2735">
      <c t="s" s="7" r="A2735">
        <v>201</v>
      </c>
      <c s="7" r="B2735">
        <v>2762</v>
      </c>
      <c s="30" r="C2735">
        <v>22</v>
      </c>
      <c t="s" s="30" r="D2735">
        <v>147</v>
      </c>
      <c t="s" s="30" r="E2735">
        <v>4</v>
      </c>
      <c t="s" s="30" r="F2735">
        <v>4</v>
      </c>
      <c t="s" s="30" r="G2735">
        <v>298</v>
      </c>
      <c t="str" s="12" r="H2735">
        <f>HYPERLINK("http://sofifa.com/en/fifa13winter/player/144877-diego-milito","D. Milito")</f>
        <v>D. Milito</v>
      </c>
      <c s="30" r="I2735">
        <v>83</v>
      </c>
      <c t="s" s="30" r="J2735">
        <v>129</v>
      </c>
      <c t="s" s="30" r="K2735">
        <v>110</v>
      </c>
      <c t="s" s="30" r="L2735">
        <v>161</v>
      </c>
      <c s="30" r="M2735">
        <v>33</v>
      </c>
      <c s="26" r="N2735">
        <v>13.7</v>
      </c>
      <c s="23" r="O2735">
        <v>0.085</v>
      </c>
      <c s="7" r="P2735"/>
      <c s="7" r="Q2735"/>
      <c s="7" r="R2735">
        <f>IF((P2735&gt;0),O2735,0)</f>
        <v>0</v>
      </c>
      <c t="str" r="S2735">
        <f>CONCATENATE(F2735,E2735)</f>
        <v>NON FTLNON FTL</v>
      </c>
    </row>
    <row r="2736">
      <c t="s" s="7" r="A2736">
        <v>201</v>
      </c>
      <c s="7" r="B2736">
        <v>2763</v>
      </c>
      <c s="30" r="C2736">
        <v>27</v>
      </c>
      <c t="s" s="30" r="D2736">
        <v>147</v>
      </c>
      <c t="s" s="30" r="E2736">
        <v>4</v>
      </c>
      <c t="s" s="30" r="F2736">
        <v>4</v>
      </c>
      <c t="s" s="30" r="G2736">
        <v>298</v>
      </c>
      <c t="str" s="12" r="H2736">
        <f>HYPERLINK("http://sofifa.com/en/fifa13winter/player/148889-vid-belec","V. Belec")</f>
        <v>V. Belec</v>
      </c>
      <c s="30" r="I2736">
        <v>69</v>
      </c>
      <c t="s" s="30" r="J2736">
        <v>106</v>
      </c>
      <c t="s" s="30" r="K2736">
        <v>165</v>
      </c>
      <c t="s" s="30" r="L2736">
        <v>156</v>
      </c>
      <c s="30" r="M2736">
        <v>22</v>
      </c>
      <c s="26" r="N2736">
        <v>1.5</v>
      </c>
      <c s="23" r="O2736">
        <v>0.006</v>
      </c>
      <c s="7" r="P2736"/>
      <c s="7" r="Q2736"/>
      <c s="7" r="R2736">
        <f>IF((P2736&gt;0),O2736,0)</f>
        <v>0</v>
      </c>
      <c t="str" r="S2736">
        <f>CONCATENATE(F2736,E2736)</f>
        <v>NON FTLNON FTL</v>
      </c>
    </row>
    <row r="2737">
      <c t="s" s="7" r="A2737">
        <v>201</v>
      </c>
      <c s="7" r="B2737">
        <v>2764</v>
      </c>
      <c s="30" r="C2737">
        <v>16</v>
      </c>
      <c t="s" s="30" r="D2737">
        <v>147</v>
      </c>
      <c t="s" s="30" r="E2737">
        <v>4</v>
      </c>
      <c t="s" s="30" r="F2737">
        <v>4</v>
      </c>
      <c t="s" s="30" r="G2737">
        <v>298</v>
      </c>
      <c t="str" s="12" r="H2737">
        <f>HYPERLINK("http://sofifa.com/en/fifa13winter/player/145719-gaby-mudingayi","G. Mudingayi")</f>
        <v>G. Mudingayi</v>
      </c>
      <c s="30" r="I2737">
        <v>75</v>
      </c>
      <c t="s" s="30" r="J2737">
        <v>154</v>
      </c>
      <c t="s" s="30" r="K2737">
        <v>114</v>
      </c>
      <c t="s" s="30" r="L2737">
        <v>153</v>
      </c>
      <c s="30" r="M2737">
        <v>30</v>
      </c>
      <c s="26" r="N2737">
        <v>3.6</v>
      </c>
      <c s="23" r="O2737">
        <v>0.014</v>
      </c>
      <c s="7" r="P2737"/>
      <c s="7" r="Q2737"/>
      <c s="7" r="R2737">
        <f>IF((P2737&gt;0),O2737,0)</f>
        <v>0</v>
      </c>
      <c t="str" r="S2737">
        <f>CONCATENATE(F2737,E2737)</f>
        <v>NON FTLNON FTL</v>
      </c>
    </row>
    <row r="2738">
      <c t="s" s="7" r="A2738">
        <v>201</v>
      </c>
      <c s="7" r="B2738">
        <v>2765</v>
      </c>
      <c s="30" r="C2738">
        <v>12</v>
      </c>
      <c t="s" s="30" r="D2738">
        <v>147</v>
      </c>
      <c t="s" s="30" r="E2738">
        <v>4</v>
      </c>
      <c t="s" s="30" r="F2738">
        <v>4</v>
      </c>
      <c t="s" s="30" r="G2738">
        <v>298</v>
      </c>
      <c t="str" s="12" r="H2738">
        <f>HYPERLINK("http://sofifa.com/en/fifa13winter/player/143453-luca-castellazzi","L. Castellazzi")</f>
        <v>L. Castellazzi</v>
      </c>
      <c s="30" r="I2738">
        <v>73</v>
      </c>
      <c t="s" s="30" r="J2738">
        <v>106</v>
      </c>
      <c t="s" s="30" r="K2738">
        <v>165</v>
      </c>
      <c t="s" s="30" r="L2738">
        <v>191</v>
      </c>
      <c s="30" r="M2738">
        <v>37</v>
      </c>
      <c s="26" r="N2738">
        <v>1.2</v>
      </c>
      <c s="23" r="O2738">
        <v>0.012</v>
      </c>
      <c s="7" r="P2738"/>
      <c s="7" r="Q2738"/>
      <c s="7" r="R2738">
        <f>IF((P2738&gt;0),O2738,0)</f>
        <v>0</v>
      </c>
      <c t="str" r="S2738">
        <f>CONCATENATE(F2738,E2738)</f>
        <v>NON FTLNON FTL</v>
      </c>
    </row>
    <row r="2739">
      <c t="s" s="7" r="A2739">
        <v>201</v>
      </c>
      <c s="7" r="B2739">
        <v>2766</v>
      </c>
      <c s="30" r="C2739">
        <v>33</v>
      </c>
      <c t="s" s="30" r="D2739">
        <v>147</v>
      </c>
      <c t="s" s="30" r="E2739">
        <v>4</v>
      </c>
      <c t="s" s="30" r="F2739">
        <v>4</v>
      </c>
      <c t="s" s="30" r="G2739">
        <v>298</v>
      </c>
      <c t="str" s="12" r="H2739">
        <f>HYPERLINK("http://sofifa.com/en/fifa13winter/player/150516-ibrahima-mbaye","I. Mbaye")</f>
        <v>I. Mbaye</v>
      </c>
      <c s="30" r="I2739">
        <v>66</v>
      </c>
      <c t="s" s="30" r="J2739">
        <v>117</v>
      </c>
      <c t="s" s="30" r="K2739">
        <v>155</v>
      </c>
      <c t="s" s="30" r="L2739">
        <v>122</v>
      </c>
      <c s="30" r="M2739">
        <v>17</v>
      </c>
      <c s="26" r="N2739">
        <v>1.3</v>
      </c>
      <c s="23" r="O2739">
        <v>0.004</v>
      </c>
      <c s="7" r="P2739"/>
      <c s="7" r="Q2739"/>
      <c s="7" r="R2739">
        <f>IF((P2739&gt;0),O2739,0)</f>
        <v>0</v>
      </c>
      <c t="str" r="S2739">
        <f>CONCATENATE(F2739,E2739)</f>
        <v>NON FTLNON FTL</v>
      </c>
    </row>
    <row r="2740">
      <c t="s" s="7" r="A2740">
        <v>201</v>
      </c>
      <c s="7" r="B2740">
        <v>2767</v>
      </c>
      <c s="30" r="C2740">
        <v>4</v>
      </c>
      <c t="s" s="30" r="D2740">
        <v>147</v>
      </c>
      <c t="s" s="30" r="E2740">
        <v>4</v>
      </c>
      <c t="s" s="30" r="F2740">
        <v>4</v>
      </c>
      <c t="s" s="30" r="G2740">
        <v>298</v>
      </c>
      <c t="str" s="12" r="H2740">
        <f>HYPERLINK("http://sofifa.com/en/fifa13winter/player/142745-javier-zanetti","J. Zanetti")</f>
        <v>J. Zanetti</v>
      </c>
      <c s="30" r="I2740">
        <v>78</v>
      </c>
      <c t="s" s="30" r="J2740">
        <v>120</v>
      </c>
      <c t="s" s="30" r="K2740">
        <v>118</v>
      </c>
      <c t="s" s="30" r="L2740">
        <v>151</v>
      </c>
      <c s="30" r="M2740">
        <v>39</v>
      </c>
      <c s="26" r="N2740">
        <v>2.7</v>
      </c>
      <c s="23" r="O2740">
        <v>0.024</v>
      </c>
      <c s="7" r="P2740"/>
      <c s="7" r="Q2740"/>
      <c s="7" r="R2740">
        <f>IF((P2740&gt;0),O2740,0)</f>
        <v>0</v>
      </c>
      <c t="str" r="S2740">
        <f>CONCATENATE(F2740,E2740)</f>
        <v>NON FTLNON FTL</v>
      </c>
    </row>
    <row r="2741">
      <c t="s" s="7" r="A2741">
        <v>201</v>
      </c>
      <c s="7" r="B2741">
        <v>2768</v>
      </c>
      <c s="30" r="C2741">
        <v>30</v>
      </c>
      <c t="s" s="30" r="D2741">
        <v>106</v>
      </c>
      <c t="s" s="30" r="E2741">
        <v>4</v>
      </c>
      <c t="s" s="30" r="F2741">
        <v>4</v>
      </c>
      <c t="s" s="30" r="G2741">
        <v>299</v>
      </c>
      <c t="str" s="12" r="H2741">
        <f>HYPERLINK("http://sofifa.com/en/fifa13winter/player/147648-salvatore-sirigu","S. Sirigu")</f>
        <v>S. Sirigu</v>
      </c>
      <c s="30" r="I2741">
        <v>84</v>
      </c>
      <c t="s" s="30" r="J2741">
        <v>106</v>
      </c>
      <c t="s" s="30" r="K2741">
        <v>165</v>
      </c>
      <c t="s" s="30" r="L2741">
        <v>153</v>
      </c>
      <c s="30" r="M2741">
        <v>25</v>
      </c>
      <c s="26" r="N2741">
        <v>14.5</v>
      </c>
      <c s="23" r="O2741">
        <v>0.083</v>
      </c>
      <c s="7" r="P2741"/>
      <c s="7" r="Q2741"/>
      <c s="7" r="R2741">
        <f>IF((P2741&gt;0),O2741,0)</f>
        <v>0</v>
      </c>
      <c t="str" r="S2741">
        <f>CONCATENATE(F2741,E2741)</f>
        <v>NON FTLNON FTL</v>
      </c>
    </row>
    <row r="2742">
      <c t="s" s="7" r="A2742">
        <v>201</v>
      </c>
      <c s="7" r="B2742">
        <v>2769</v>
      </c>
      <c s="30" r="C2742">
        <v>26</v>
      </c>
      <c t="s" s="30" r="D2742">
        <v>109</v>
      </c>
      <c t="s" s="30" r="E2742">
        <v>4</v>
      </c>
      <c t="s" s="30" r="F2742">
        <v>4</v>
      </c>
      <c t="s" s="30" r="G2742">
        <v>299</v>
      </c>
      <c t="str" s="12" r="H2742">
        <f>HYPERLINK("http://sofifa.com/en/fifa13winter/player/146479-christophe-jallet","C. Jallet")</f>
        <v>C. Jallet</v>
      </c>
      <c s="30" r="I2742">
        <v>77</v>
      </c>
      <c t="s" s="30" r="J2742">
        <v>109</v>
      </c>
      <c t="s" s="30" r="K2742">
        <v>118</v>
      </c>
      <c t="s" s="30" r="L2742">
        <v>149</v>
      </c>
      <c s="30" r="M2742">
        <v>28</v>
      </c>
      <c s="26" r="N2742">
        <v>5</v>
      </c>
      <c s="23" r="O2742">
        <v>0.017</v>
      </c>
      <c s="7" r="P2742"/>
      <c s="7" r="Q2742"/>
      <c s="7" r="R2742">
        <f>IF((P2742&gt;0),O2742,0)</f>
        <v>0</v>
      </c>
      <c t="str" r="S2742">
        <f>CONCATENATE(F2742,E2742)</f>
        <v>NON FTLNON FTL</v>
      </c>
    </row>
    <row r="2743">
      <c t="s" s="7" r="A2743">
        <v>201</v>
      </c>
      <c s="7" r="B2743">
        <v>2770</v>
      </c>
      <c s="30" r="C2743">
        <v>13</v>
      </c>
      <c t="s" s="30" r="D2743">
        <v>112</v>
      </c>
      <c t="s" s="30" r="E2743">
        <v>4</v>
      </c>
      <c t="s" s="30" r="F2743">
        <v>4</v>
      </c>
      <c t="s" s="30" r="G2743">
        <v>299</v>
      </c>
      <c t="str" s="12" r="H2743">
        <f>HYPERLINK("http://sofifa.com/en/fifa13winter/player/145978-alex-rodrigo-dias-da-costa","Alex")</f>
        <v>Alex</v>
      </c>
      <c s="30" r="I2743">
        <v>80</v>
      </c>
      <c t="s" s="30" r="J2743">
        <v>113</v>
      </c>
      <c t="s" s="30" r="K2743">
        <v>169</v>
      </c>
      <c t="s" s="30" r="L2743">
        <v>135</v>
      </c>
      <c s="30" r="M2743">
        <v>30</v>
      </c>
      <c s="26" r="N2743">
        <v>9.3</v>
      </c>
      <c s="23" r="O2743">
        <v>0.034</v>
      </c>
      <c s="7" r="P2743"/>
      <c s="7" r="Q2743"/>
      <c s="7" r="R2743">
        <f>IF((P2743&gt;0),O2743,0)</f>
        <v>0</v>
      </c>
      <c t="str" r="S2743">
        <f>CONCATENATE(F2743,E2743)</f>
        <v>NON FTLNON FTL</v>
      </c>
    </row>
    <row r="2744">
      <c t="s" s="7" r="A2744">
        <v>201</v>
      </c>
      <c s="7" r="B2744">
        <v>2771</v>
      </c>
      <c s="30" r="C2744">
        <v>2</v>
      </c>
      <c t="s" s="30" r="D2744">
        <v>116</v>
      </c>
      <c t="s" s="30" r="E2744">
        <v>4</v>
      </c>
      <c t="s" s="30" r="F2744">
        <v>4</v>
      </c>
      <c t="s" s="30" r="G2744">
        <v>299</v>
      </c>
      <c t="str" s="12" r="H2744">
        <f>HYPERLINK("http://sofifa.com/en/fifa13winter/player/146806-thiago-emiliano-da-silva","Thiago Silva")</f>
        <v>Thiago Silva</v>
      </c>
      <c s="30" r="I2744">
        <v>86</v>
      </c>
      <c t="s" s="30" r="J2744">
        <v>113</v>
      </c>
      <c t="s" s="30" r="K2744">
        <v>110</v>
      </c>
      <c t="s" s="30" r="L2744">
        <v>158</v>
      </c>
      <c s="30" r="M2744">
        <v>27</v>
      </c>
      <c s="26" r="N2744">
        <v>26.2</v>
      </c>
      <c s="23" r="O2744">
        <v>0.135</v>
      </c>
      <c s="7" r="P2744"/>
      <c s="7" r="Q2744"/>
      <c s="7" r="R2744">
        <f>IF((P2744&gt;0),O2744,0)</f>
        <v>0</v>
      </c>
      <c t="str" r="S2744">
        <f>CONCATENATE(F2744,E2744)</f>
        <v>NON FTLNON FTL</v>
      </c>
    </row>
    <row r="2745">
      <c t="s" s="7" r="A2745">
        <v>201</v>
      </c>
      <c s="7" r="B2745">
        <v>2772</v>
      </c>
      <c s="30" r="C2745">
        <v>17</v>
      </c>
      <c t="s" s="30" r="D2745">
        <v>117</v>
      </c>
      <c t="s" s="30" r="E2745">
        <v>4</v>
      </c>
      <c t="s" s="30" r="F2745">
        <v>4</v>
      </c>
      <c t="s" s="30" r="G2745">
        <v>299</v>
      </c>
      <c t="str" s="12" r="H2745">
        <f>HYPERLINK("http://sofifa.com/en/fifa13winter/player/145684-maxwell-scherer-cabelino-andrade","Maxwell")</f>
        <v>Maxwell</v>
      </c>
      <c s="30" r="I2745">
        <v>77</v>
      </c>
      <c t="s" s="30" r="J2745">
        <v>117</v>
      </c>
      <c t="s" s="30" r="K2745">
        <v>159</v>
      </c>
      <c t="s" s="30" r="L2745">
        <v>183</v>
      </c>
      <c s="30" r="M2745">
        <v>31</v>
      </c>
      <c s="26" r="N2745">
        <v>4.2</v>
      </c>
      <c s="23" r="O2745">
        <v>0.019</v>
      </c>
      <c s="7" r="P2745"/>
      <c s="7" r="Q2745"/>
      <c s="7" r="R2745">
        <f>IF((P2745&gt;0),O2745,0)</f>
        <v>0</v>
      </c>
      <c t="str" r="S2745">
        <f>CONCATENATE(F2745,E2745)</f>
        <v>NON FTLNON FTL</v>
      </c>
    </row>
    <row r="2746">
      <c t="s" s="7" r="A2746">
        <v>201</v>
      </c>
      <c s="7" r="B2746">
        <v>2773</v>
      </c>
      <c s="30" r="C2746">
        <v>28</v>
      </c>
      <c t="s" s="30" r="D2746">
        <v>186</v>
      </c>
      <c t="s" s="30" r="E2746">
        <v>4</v>
      </c>
      <c t="s" s="30" r="F2746">
        <v>4</v>
      </c>
      <c t="s" s="30" r="G2746">
        <v>299</v>
      </c>
      <c t="str" s="12" r="H2746">
        <f>HYPERLINK("http://sofifa.com/en/fifa13winter/player/146050-thiago-motta","T. Motta")</f>
        <v>T. Motta</v>
      </c>
      <c s="30" r="I2746">
        <v>81</v>
      </c>
      <c t="s" s="30" r="J2746">
        <v>154</v>
      </c>
      <c t="s" s="30" r="K2746">
        <v>155</v>
      </c>
      <c t="s" s="30" r="L2746">
        <v>108</v>
      </c>
      <c s="30" r="M2746">
        <v>30</v>
      </c>
      <c s="26" r="N2746">
        <v>9.2</v>
      </c>
      <c s="23" r="O2746">
        <v>0.045</v>
      </c>
      <c s="7" r="P2746"/>
      <c s="7" r="Q2746"/>
      <c s="7" r="R2746">
        <f>IF((P2746&gt;0),O2746,0)</f>
        <v>0</v>
      </c>
      <c t="str" r="S2746">
        <f>CONCATENATE(F2746,E2746)</f>
        <v>NON FTLNON FTL</v>
      </c>
    </row>
    <row r="2747">
      <c t="s" s="7" r="A2747">
        <v>201</v>
      </c>
      <c s="7" r="B2747">
        <v>2774</v>
      </c>
      <c s="30" r="C2747">
        <v>14</v>
      </c>
      <c t="s" s="30" r="D2747">
        <v>174</v>
      </c>
      <c t="s" s="30" r="E2747">
        <v>4</v>
      </c>
      <c t="s" s="30" r="F2747">
        <v>4</v>
      </c>
      <c t="s" s="30" r="G2747">
        <v>299</v>
      </c>
      <c t="str" s="12" r="H2747">
        <f>HYPERLINK("http://sofifa.com/en/fifa13winter/player/147735-blaise-matuidi","B. Matuidi")</f>
        <v>B. Matuidi</v>
      </c>
      <c s="30" r="I2747">
        <v>81</v>
      </c>
      <c t="s" s="30" r="J2747">
        <v>154</v>
      </c>
      <c t="s" s="30" r="K2747">
        <v>139</v>
      </c>
      <c t="s" s="30" r="L2747">
        <v>122</v>
      </c>
      <c s="30" r="M2747">
        <v>25</v>
      </c>
      <c s="26" r="N2747">
        <v>11.7</v>
      </c>
      <c s="23" r="O2747">
        <v>0.04</v>
      </c>
      <c s="7" r="P2747"/>
      <c s="7" r="Q2747"/>
      <c s="7" r="R2747">
        <f>IF((P2747&gt;0),O2747,0)</f>
        <v>0</v>
      </c>
      <c t="str" r="S2747">
        <f>CONCATENATE(F2747,E2747)</f>
        <v>NON FTLNON FTL</v>
      </c>
    </row>
    <row r="2748">
      <c t="s" s="7" r="A2748">
        <v>201</v>
      </c>
      <c s="7" r="B2748">
        <v>2775</v>
      </c>
      <c s="30" r="C2748">
        <v>27</v>
      </c>
      <c t="s" s="30" r="D2748">
        <v>120</v>
      </c>
      <c t="s" s="30" r="E2748">
        <v>4</v>
      </c>
      <c t="s" s="30" r="F2748">
        <v>4</v>
      </c>
      <c t="s" s="30" r="G2748">
        <v>299</v>
      </c>
      <c t="str" s="12" r="H2748">
        <f>HYPERLINK("http://sofifa.com/en/fifa13winter/player/148538-javier-pastore","J. Pastore")</f>
        <v>J. Pastore</v>
      </c>
      <c s="30" r="I2748">
        <v>81</v>
      </c>
      <c t="s" s="30" r="J2748">
        <v>162</v>
      </c>
      <c t="s" s="30" r="K2748">
        <v>155</v>
      </c>
      <c t="s" s="30" r="L2748">
        <v>161</v>
      </c>
      <c s="30" r="M2748">
        <v>23</v>
      </c>
      <c s="26" r="N2748">
        <v>13.9</v>
      </c>
      <c s="23" r="O2748">
        <v>0.038</v>
      </c>
      <c s="7" r="P2748"/>
      <c s="7" r="Q2748"/>
      <c s="7" r="R2748">
        <f>IF((P2748&gt;0),O2748,0)</f>
        <v>0</v>
      </c>
      <c t="str" r="S2748">
        <f>CONCATENATE(F2748,E2748)</f>
        <v>NON FTLNON FTL</v>
      </c>
    </row>
    <row r="2749">
      <c t="s" s="7" r="A2749">
        <v>201</v>
      </c>
      <c s="7" r="B2749">
        <v>2776</v>
      </c>
      <c s="30" r="C2749">
        <v>11</v>
      </c>
      <c t="s" s="30" r="D2749">
        <v>128</v>
      </c>
      <c t="s" s="30" r="E2749">
        <v>4</v>
      </c>
      <c t="s" s="30" r="F2749">
        <v>4</v>
      </c>
      <c t="s" s="30" r="G2749">
        <v>299</v>
      </c>
      <c t="str" s="12" r="H2749">
        <f>HYPERLINK("http://sofifa.com/en/fifa13winter/player/147029-ezequiel-lavezzi","E. Lavezzi")</f>
        <v>E. Lavezzi</v>
      </c>
      <c s="30" r="I2749">
        <v>84</v>
      </c>
      <c t="s" s="30" r="J2749">
        <v>170</v>
      </c>
      <c t="s" s="30" r="K2749">
        <v>130</v>
      </c>
      <c t="s" s="30" r="L2749">
        <v>151</v>
      </c>
      <c s="30" r="M2749">
        <v>27</v>
      </c>
      <c s="26" r="N2749">
        <v>20.8</v>
      </c>
      <c s="23" r="O2749">
        <v>0.083</v>
      </c>
      <c s="7" r="P2749"/>
      <c s="7" r="Q2749"/>
      <c s="7" r="R2749">
        <f>IF((P2749&gt;0),O2749,0)</f>
        <v>0</v>
      </c>
      <c t="str" r="S2749">
        <f>CONCATENATE(F2749,E2749)</f>
        <v>NON FTLNON FTL</v>
      </c>
    </row>
    <row r="2750">
      <c t="s" s="7" r="A2750">
        <v>201</v>
      </c>
      <c s="7" r="B2750">
        <v>2777</v>
      </c>
      <c s="30" r="C2750">
        <v>7</v>
      </c>
      <c t="s" s="30" r="D2750">
        <v>131</v>
      </c>
      <c t="s" s="30" r="E2750">
        <v>4</v>
      </c>
      <c t="s" s="30" r="F2750">
        <v>4</v>
      </c>
      <c t="s" s="30" r="G2750">
        <v>299</v>
      </c>
      <c t="str" s="12" r="H2750">
        <f>HYPERLINK("http://sofifa.com/en/fifa13winter/player/147763-jeremy-menez","J. Ménez")</f>
        <v>J. Ménez</v>
      </c>
      <c s="30" r="I2750">
        <v>79</v>
      </c>
      <c t="s" s="30" r="J2750">
        <v>171</v>
      </c>
      <c t="s" s="30" r="K2750">
        <v>150</v>
      </c>
      <c t="s" s="30" r="L2750">
        <v>138</v>
      </c>
      <c s="30" r="M2750">
        <v>25</v>
      </c>
      <c s="26" r="N2750">
        <v>8.7</v>
      </c>
      <c s="23" r="O2750">
        <v>0.022</v>
      </c>
      <c s="7" r="P2750"/>
      <c s="7" r="Q2750"/>
      <c s="7" r="R2750">
        <f>IF((P2750&gt;0),O2750,0)</f>
        <v>0</v>
      </c>
      <c t="str" r="S2750">
        <f>CONCATENATE(F2750,E2750)</f>
        <v>NON FTLNON FTL</v>
      </c>
    </row>
    <row r="2751">
      <c t="s" s="7" r="A2751">
        <v>201</v>
      </c>
      <c s="7" r="B2751">
        <v>2778</v>
      </c>
      <c s="30" r="C2751">
        <v>10</v>
      </c>
      <c t="s" s="30" r="D2751">
        <v>133</v>
      </c>
      <c t="s" s="30" r="E2751">
        <v>4</v>
      </c>
      <c t="s" s="30" r="F2751">
        <v>4</v>
      </c>
      <c t="s" s="30" r="G2751">
        <v>299</v>
      </c>
      <c t="str" s="12" r="H2751">
        <f>HYPERLINK("http://sofifa.com/en/fifa13winter/player/145721-zlatan-ibrahimovic","Z. Ibrahimović")</f>
        <v>Z. Ibrahimović</v>
      </c>
      <c s="30" r="I2751">
        <v>89</v>
      </c>
      <c t="s" s="30" r="J2751">
        <v>129</v>
      </c>
      <c t="s" s="30" r="K2751">
        <v>176</v>
      </c>
      <c t="s" s="30" r="L2751">
        <v>194</v>
      </c>
      <c s="30" r="M2751">
        <v>30</v>
      </c>
      <c s="26" r="N2751">
        <v>57.3</v>
      </c>
      <c s="23" r="O2751">
        <v>0.28</v>
      </c>
      <c s="7" r="P2751"/>
      <c s="7" r="Q2751"/>
      <c s="7" r="R2751">
        <f>IF((P2751&gt;0),O2751,0)</f>
        <v>0</v>
      </c>
      <c t="str" r="S2751">
        <f>CONCATENATE(F2751,E2751)</f>
        <v>NON FTLNON FTL</v>
      </c>
    </row>
    <row r="2752">
      <c t="s" s="7" r="A2752">
        <v>201</v>
      </c>
      <c s="7" r="B2752">
        <v>2779</v>
      </c>
      <c s="30" r="C2752">
        <v>24</v>
      </c>
      <c t="s" s="30" r="D2752">
        <v>136</v>
      </c>
      <c t="s" s="30" r="E2752">
        <v>4</v>
      </c>
      <c t="s" s="30" r="F2752">
        <v>4</v>
      </c>
      <c t="s" s="30" r="G2752">
        <v>299</v>
      </c>
      <c t="str" s="12" r="H2752">
        <f>HYPERLINK("http://sofifa.com/en/fifa13winter/player/149772-marco-verratti","M. Verratti")</f>
        <v>M. Verratti</v>
      </c>
      <c s="30" r="I2752">
        <v>77</v>
      </c>
      <c t="s" s="30" r="J2752">
        <v>154</v>
      </c>
      <c t="s" s="30" r="K2752">
        <v>197</v>
      </c>
      <c t="s" s="30" r="L2752">
        <v>127</v>
      </c>
      <c s="30" r="M2752">
        <v>19</v>
      </c>
      <c s="26" r="N2752">
        <v>6.1</v>
      </c>
      <c s="23" r="O2752">
        <v>0.013</v>
      </c>
      <c s="7" r="P2752"/>
      <c s="7" r="Q2752"/>
      <c s="7" r="R2752">
        <f>IF((P2752&gt;0),O2752,0)</f>
        <v>0</v>
      </c>
      <c t="str" r="S2752">
        <f>CONCATENATE(F2752,E2752)</f>
        <v>NON FTLNON FTL</v>
      </c>
    </row>
    <row r="2753">
      <c t="s" s="7" r="A2753">
        <v>201</v>
      </c>
      <c s="7" r="B2753">
        <v>2780</v>
      </c>
      <c s="30" r="C2753">
        <v>29</v>
      </c>
      <c t="s" s="30" r="D2753">
        <v>136</v>
      </c>
      <c t="s" s="30" r="E2753">
        <v>4</v>
      </c>
      <c t="s" s="30" r="F2753">
        <v>4</v>
      </c>
      <c t="s" s="30" r="G2753">
        <v>299</v>
      </c>
      <c t="str" s="12" r="H2753">
        <f>HYPERLINK("http://sofifa.com/en/fifa13winter/player/149688-lucas-rodrigues-m-silva","Lucas")</f>
        <v>Lucas</v>
      </c>
      <c s="30" r="I2753">
        <v>82</v>
      </c>
      <c t="s" s="30" r="J2753">
        <v>120</v>
      </c>
      <c t="s" s="30" r="K2753">
        <v>187</v>
      </c>
      <c t="s" s="30" r="L2753">
        <v>122</v>
      </c>
      <c s="30" r="M2753">
        <v>20</v>
      </c>
      <c s="26" r="N2753">
        <v>19.3</v>
      </c>
      <c s="23" r="O2753">
        <v>0.045</v>
      </c>
      <c s="7" r="P2753"/>
      <c s="7" r="Q2753"/>
      <c s="7" r="R2753">
        <f>IF((P2753&gt;0),O2753,0)</f>
        <v>0</v>
      </c>
      <c t="str" r="S2753">
        <f>CONCATENATE(F2753,E2753)</f>
        <v>NON FTLNON FTL</v>
      </c>
    </row>
    <row r="2754">
      <c t="s" s="7" r="A2754">
        <v>201</v>
      </c>
      <c s="7" r="B2754">
        <v>2781</v>
      </c>
      <c s="30" r="C2754">
        <v>6</v>
      </c>
      <c t="s" s="30" r="D2754">
        <v>136</v>
      </c>
      <c t="s" s="30" r="E2754">
        <v>4</v>
      </c>
      <c t="s" s="30" r="F2754">
        <v>4</v>
      </c>
      <c t="s" s="30" r="G2754">
        <v>299</v>
      </c>
      <c t="str" s="12" r="H2754">
        <f>HYPERLINK("http://sofifa.com/en/fifa13winter/player/144807-zoumana-camara","Z. Camara")</f>
        <v>Z. Camara</v>
      </c>
      <c s="30" r="I2754">
        <v>74</v>
      </c>
      <c t="s" s="30" r="J2754">
        <v>113</v>
      </c>
      <c t="s" s="30" r="K2754">
        <v>143</v>
      </c>
      <c t="s" s="30" r="L2754">
        <v>137</v>
      </c>
      <c s="30" r="M2754">
        <v>33</v>
      </c>
      <c s="26" r="N2754">
        <v>2.3</v>
      </c>
      <c s="23" r="O2754">
        <v>0.013</v>
      </c>
      <c s="7" r="P2754"/>
      <c s="7" r="Q2754"/>
      <c s="7" r="R2754">
        <f>IF((P2754&gt;0),O2754,0)</f>
        <v>0</v>
      </c>
      <c t="str" r="S2754">
        <f>CONCATENATE(F2754,E2754)</f>
        <v>NON FTLNON FTL</v>
      </c>
    </row>
    <row r="2755">
      <c t="s" s="7" r="A2755">
        <v>201</v>
      </c>
      <c s="7" r="B2755">
        <v>2782</v>
      </c>
      <c s="30" r="C2755">
        <v>31</v>
      </c>
      <c t="s" s="30" r="D2755">
        <v>136</v>
      </c>
      <c t="s" s="30" r="E2755">
        <v>4</v>
      </c>
      <c t="s" s="30" r="F2755">
        <v>4</v>
      </c>
      <c t="s" s="30" r="G2755">
        <v>299</v>
      </c>
      <c t="str" s="12" r="H2755">
        <f>HYPERLINK("http://sofifa.com/en/fifa13winter/player/149532-neeskens-kebano","N. Kebano")</f>
        <v>N. Kebano</v>
      </c>
      <c s="30" r="I2755">
        <v>65</v>
      </c>
      <c t="s" s="30" r="J2755">
        <v>157</v>
      </c>
      <c t="s" s="30" r="K2755">
        <v>121</v>
      </c>
      <c t="s" s="30" r="L2755">
        <v>146</v>
      </c>
      <c s="30" r="M2755">
        <v>20</v>
      </c>
      <c s="26" r="N2755">
        <v>1.2</v>
      </c>
      <c s="23" r="O2755">
        <v>0.004</v>
      </c>
      <c s="7" r="P2755"/>
      <c s="7" r="Q2755"/>
      <c s="7" r="R2755">
        <f>IF((P2755&gt;0),O2755,0)</f>
        <v>0</v>
      </c>
      <c t="str" r="S2755">
        <f>CONCATENATE(F2755,E2755)</f>
        <v>NON FTLNON FTL</v>
      </c>
    </row>
    <row r="2756">
      <c t="s" s="7" r="A2756">
        <v>201</v>
      </c>
      <c s="7" r="B2756">
        <v>2783</v>
      </c>
      <c s="30" r="C2756">
        <v>39</v>
      </c>
      <c t="s" s="30" r="D2756">
        <v>136</v>
      </c>
      <c t="s" s="30" r="E2756">
        <v>4</v>
      </c>
      <c t="s" s="30" r="F2756">
        <v>4</v>
      </c>
      <c t="s" s="30" r="G2756">
        <v>299</v>
      </c>
      <c t="str" s="12" r="H2756">
        <f>HYPERLINK("http://sofifa.com/en/fifa13winter/player/150306-abdallah-yaisien","A. Yaisien")</f>
        <v>A. Yaisien</v>
      </c>
      <c s="30" r="I2756">
        <v>63</v>
      </c>
      <c t="s" s="30" r="J2756">
        <v>162</v>
      </c>
      <c t="s" s="30" r="K2756">
        <v>182</v>
      </c>
      <c t="s" s="30" r="L2756">
        <v>149</v>
      </c>
      <c s="30" r="M2756">
        <v>18</v>
      </c>
      <c s="26" r="N2756">
        <v>1</v>
      </c>
      <c s="23" r="O2756">
        <v>0.003</v>
      </c>
      <c s="7" r="P2756"/>
      <c s="7" r="Q2756"/>
      <c s="7" r="R2756">
        <f>IF((P2756&gt;0),O2756,0)</f>
        <v>0</v>
      </c>
      <c t="str" r="S2756">
        <f>CONCATENATE(F2756,E2756)</f>
        <v>NON FTLNON FTL</v>
      </c>
    </row>
    <row r="2757">
      <c t="s" s="7" r="A2757">
        <v>201</v>
      </c>
      <c s="7" r="B2757">
        <v>2784</v>
      </c>
      <c s="30" r="C2757">
        <v>25</v>
      </c>
      <c t="s" s="30" r="D2757">
        <v>136</v>
      </c>
      <c t="s" s="30" r="E2757">
        <v>4</v>
      </c>
      <c t="s" s="30" r="F2757">
        <v>4</v>
      </c>
      <c t="s" s="30" r="G2757">
        <v>299</v>
      </c>
      <c t="str" s="12" r="H2757">
        <f>HYPERLINK("http://sofifa.com/en/fifa13winter/player/147443-jean-eudes-maurice","J. Maurice")</f>
        <v>J. Maurice</v>
      </c>
      <c s="30" r="I2757">
        <v>63</v>
      </c>
      <c t="s" s="30" r="J2757">
        <v>129</v>
      </c>
      <c t="s" s="30" r="K2757">
        <v>114</v>
      </c>
      <c t="s" s="30" r="L2757">
        <v>151</v>
      </c>
      <c s="30" r="M2757">
        <v>26</v>
      </c>
      <c s="26" r="N2757">
        <v>0.9</v>
      </c>
      <c s="23" r="O2757">
        <v>0.004</v>
      </c>
      <c s="7" r="P2757"/>
      <c s="7" r="Q2757"/>
      <c s="7" r="R2757">
        <f>IF((P2757&gt;0),O2757,0)</f>
        <v>0</v>
      </c>
      <c t="str" r="S2757">
        <f>CONCATENATE(F2757,E2757)</f>
        <v>NON FTLNON FTL</v>
      </c>
    </row>
    <row r="2758">
      <c t="s" s="7" r="A2758">
        <v>201</v>
      </c>
      <c s="7" r="B2758">
        <v>2785</v>
      </c>
      <c s="30" r="C2758">
        <v>23</v>
      </c>
      <c t="s" s="30" r="D2758">
        <v>136</v>
      </c>
      <c t="s" s="30" r="E2758">
        <v>4</v>
      </c>
      <c t="s" s="30" r="F2758">
        <v>4</v>
      </c>
      <c t="s" s="30" r="G2758">
        <v>299</v>
      </c>
      <c t="str" s="12" r="H2758">
        <f>HYPERLINK("http://sofifa.com/en/fifa13winter/player/148035-gregory-van-der-wiel","G. van der Wiel")</f>
        <v>G. van der Wiel</v>
      </c>
      <c s="30" r="I2758">
        <v>75</v>
      </c>
      <c t="s" s="30" r="J2758">
        <v>109</v>
      </c>
      <c t="s" s="30" r="K2758">
        <v>150</v>
      </c>
      <c t="s" s="30" r="L2758">
        <v>142</v>
      </c>
      <c s="30" r="M2758">
        <v>24</v>
      </c>
      <c s="26" r="N2758">
        <v>4</v>
      </c>
      <c s="23" r="O2758">
        <v>0.013</v>
      </c>
      <c s="7" r="P2758"/>
      <c s="7" r="Q2758"/>
      <c s="7" r="R2758">
        <f>IF((P2758&gt;0),O2758,0)</f>
        <v>0</v>
      </c>
      <c t="str" r="S2758">
        <f>CONCATENATE(F2758,E2758)</f>
        <v>NON FTLNON FTL</v>
      </c>
    </row>
    <row r="2759">
      <c t="s" s="7" r="A2759">
        <v>201</v>
      </c>
      <c s="7" r="B2759">
        <v>2786</v>
      </c>
      <c s="30" r="C2759">
        <v>3</v>
      </c>
      <c t="s" s="30" r="D2759">
        <v>136</v>
      </c>
      <c t="s" s="30" r="E2759">
        <v>4</v>
      </c>
      <c t="s" s="30" r="F2759">
        <v>4</v>
      </c>
      <c t="s" s="30" r="G2759">
        <v>299</v>
      </c>
      <c t="str" s="12" r="H2759">
        <f>HYPERLINK("http://sofifa.com/en/fifa13winter/player/148776-mamadou-sakho","M. Sakho")</f>
        <v>M. Sakho</v>
      </c>
      <c s="30" r="I2759">
        <v>81</v>
      </c>
      <c t="s" s="30" r="J2759">
        <v>113</v>
      </c>
      <c t="s" s="30" r="K2759">
        <v>155</v>
      </c>
      <c t="s" s="30" r="L2759">
        <v>108</v>
      </c>
      <c s="30" r="M2759">
        <v>22</v>
      </c>
      <c s="26" r="N2759">
        <v>12.3</v>
      </c>
      <c s="23" r="O2759">
        <v>0.037</v>
      </c>
      <c s="7" r="P2759"/>
      <c s="7" r="Q2759"/>
      <c s="7" r="R2759">
        <f>IF((P2759&gt;0),O2759,0)</f>
        <v>0</v>
      </c>
      <c t="str" r="S2759">
        <f>CONCATENATE(F2759,E2759)</f>
        <v>NON FTLNON FTL</v>
      </c>
    </row>
    <row r="2760">
      <c t="s" s="7" r="A2760">
        <v>201</v>
      </c>
      <c s="7" r="B2760">
        <v>2787</v>
      </c>
      <c s="30" r="C2760">
        <v>20</v>
      </c>
      <c t="s" s="30" r="D2760">
        <v>136</v>
      </c>
      <c t="s" s="30" r="E2760">
        <v>4</v>
      </c>
      <c t="s" s="30" r="F2760">
        <v>4</v>
      </c>
      <c t="s" s="30" r="G2760">
        <v>299</v>
      </c>
      <c t="str" s="12" r="H2760">
        <f>HYPERLINK("http://sofifa.com/en/fifa13winter/player/147890-clement-chantome","C. Chantôme")</f>
        <v>C. Chantôme</v>
      </c>
      <c s="30" r="I2760">
        <v>75</v>
      </c>
      <c t="s" s="30" r="J2760">
        <v>124</v>
      </c>
      <c t="s" s="30" r="K2760">
        <v>114</v>
      </c>
      <c t="s" s="30" r="L2760">
        <v>142</v>
      </c>
      <c s="30" r="M2760">
        <v>24</v>
      </c>
      <c s="26" r="N2760">
        <v>4.2</v>
      </c>
      <c s="23" r="O2760">
        <v>0.013</v>
      </c>
      <c s="7" r="P2760"/>
      <c s="7" r="Q2760"/>
      <c s="7" r="R2760">
        <f>IF((P2760&gt;0),O2760,0)</f>
        <v>0</v>
      </c>
      <c t="str" r="S2760">
        <f>CONCATENATE(F2760,E2760)</f>
        <v>NON FTLNON FTL</v>
      </c>
    </row>
    <row r="2761">
      <c t="s" s="7" r="A2761">
        <v>201</v>
      </c>
      <c s="7" r="B2761">
        <v>2788</v>
      </c>
      <c s="30" r="C2761">
        <v>19</v>
      </c>
      <c t="s" s="30" r="D2761">
        <v>136</v>
      </c>
      <c t="s" s="30" r="E2761">
        <v>4</v>
      </c>
      <c t="s" s="30" r="F2761">
        <v>4</v>
      </c>
      <c t="s" s="30" r="G2761">
        <v>299</v>
      </c>
      <c t="str" s="12" r="H2761">
        <f>HYPERLINK("http://sofifa.com/en/fifa13winter/player/147765-kevin-gameiro","K. Gameiro")</f>
        <v>K. Gameiro</v>
      </c>
      <c s="30" r="I2761">
        <v>78</v>
      </c>
      <c t="s" s="30" r="J2761">
        <v>129</v>
      </c>
      <c t="s" s="30" r="K2761">
        <v>187</v>
      </c>
      <c t="s" s="30" r="L2761">
        <v>111</v>
      </c>
      <c s="30" r="M2761">
        <v>25</v>
      </c>
      <c s="26" r="N2761">
        <v>7.8</v>
      </c>
      <c s="23" r="O2761">
        <v>0.019</v>
      </c>
      <c s="7" r="P2761"/>
      <c s="7" r="Q2761"/>
      <c s="7" r="R2761">
        <f>IF((P2761&gt;0),O2761,0)</f>
        <v>0</v>
      </c>
      <c t="str" r="S2761">
        <f>CONCATENATE(F2761,E2761)</f>
        <v>NON FTLNON FTL</v>
      </c>
    </row>
    <row r="2762">
      <c t="s" s="7" r="A2762">
        <v>201</v>
      </c>
      <c s="7" r="B2762">
        <v>2789</v>
      </c>
      <c s="30" r="C2762">
        <v>5</v>
      </c>
      <c t="s" s="30" r="D2762">
        <v>136</v>
      </c>
      <c t="s" s="30" r="E2762">
        <v>4</v>
      </c>
      <c t="s" s="30" r="F2762">
        <v>4</v>
      </c>
      <c t="s" s="30" r="G2762">
        <v>299</v>
      </c>
      <c t="str" s="12" r="H2762">
        <f>HYPERLINK("http://sofifa.com/en/fifa13winter/player/145863-siaka-tiene","S. Tiéné")</f>
        <v>S. Tiéné</v>
      </c>
      <c s="30" r="I2762">
        <v>73</v>
      </c>
      <c t="s" s="30" r="J2762">
        <v>117</v>
      </c>
      <c t="s" s="30" r="K2762">
        <v>172</v>
      </c>
      <c t="s" s="30" r="L2762">
        <v>146</v>
      </c>
      <c s="30" r="M2762">
        <v>30</v>
      </c>
      <c s="26" r="N2762">
        <v>2.4</v>
      </c>
      <c s="23" r="O2762">
        <v>0.011</v>
      </c>
      <c s="7" r="P2762"/>
      <c s="7" r="Q2762"/>
      <c s="7" r="R2762">
        <f>IF((P2762&gt;0),O2762,0)</f>
        <v>0</v>
      </c>
      <c t="str" r="S2762">
        <f>CONCATENATE(F2762,E2762)</f>
        <v>NON FTLNON FTL</v>
      </c>
    </row>
    <row r="2763">
      <c t="s" s="7" r="A2763">
        <v>201</v>
      </c>
      <c s="7" r="B2763">
        <v>2790</v>
      </c>
      <c s="30" r="C2763">
        <v>1</v>
      </c>
      <c t="s" s="30" r="D2763">
        <v>136</v>
      </c>
      <c t="s" s="30" r="E2763">
        <v>4</v>
      </c>
      <c t="s" s="30" r="F2763">
        <v>4</v>
      </c>
      <c t="s" s="30" r="G2763">
        <v>299</v>
      </c>
      <c t="str" s="12" r="H2763">
        <f>HYPERLINK("http://sofifa.com/en/fifa13winter/player/145192-nicolas-douchez","N. Douchez")</f>
        <v>N. Douchez</v>
      </c>
      <c s="30" r="I2763">
        <v>76</v>
      </c>
      <c t="s" s="30" r="J2763">
        <v>106</v>
      </c>
      <c t="s" s="30" r="K2763">
        <v>173</v>
      </c>
      <c t="s" s="30" r="L2763">
        <v>183</v>
      </c>
      <c s="30" r="M2763">
        <v>32</v>
      </c>
      <c s="26" r="N2763">
        <v>3.1</v>
      </c>
      <c s="23" r="O2763">
        <v>0.018</v>
      </c>
      <c s="7" r="P2763"/>
      <c s="7" r="Q2763"/>
      <c s="7" r="R2763">
        <f>IF((P2763&gt;0),O2763,0)</f>
        <v>0</v>
      </c>
      <c t="str" r="S2763">
        <f>CONCATENATE(F2763,E2763)</f>
        <v>NON FTLNON FTL</v>
      </c>
    </row>
    <row r="2764">
      <c t="s" s="7" r="A2764">
        <v>201</v>
      </c>
      <c s="7" r="B2764">
        <v>2791</v>
      </c>
      <c s="30" r="C2764">
        <v>41</v>
      </c>
      <c t="s" s="30" r="D2764">
        <v>147</v>
      </c>
      <c t="s" s="30" r="E2764">
        <v>4</v>
      </c>
      <c t="s" s="30" r="F2764">
        <v>4</v>
      </c>
      <c t="s" s="30" r="G2764">
        <v>299</v>
      </c>
      <c t="str" s="12" r="H2764">
        <f>HYPERLINK("http://sofifa.com/en/fifa13winter/player/150742-mike-maignan","M. Maignan")</f>
        <v>M. Maignan</v>
      </c>
      <c s="30" r="I2764">
        <v>56</v>
      </c>
      <c t="s" s="30" r="J2764">
        <v>106</v>
      </c>
      <c t="s" s="30" r="K2764">
        <v>155</v>
      </c>
      <c t="s" s="30" r="L2764">
        <v>153</v>
      </c>
      <c s="30" r="M2764">
        <v>17</v>
      </c>
      <c s="26" r="N2764">
        <v>0.1</v>
      </c>
      <c s="23" r="O2764">
        <v>0.001</v>
      </c>
      <c s="7" r="P2764"/>
      <c s="7" r="Q2764"/>
      <c s="7" r="R2764">
        <f>IF((P2764&gt;0),O2764,0)</f>
        <v>0</v>
      </c>
      <c t="str" r="S2764">
        <f>CONCATENATE(F2764,E2764)</f>
        <v>NON FTLNON FTL</v>
      </c>
    </row>
    <row r="2765">
      <c t="s" s="7" r="A2765">
        <v>201</v>
      </c>
      <c s="7" r="B2765">
        <v>2792</v>
      </c>
      <c s="30" r="C2765">
        <v>38</v>
      </c>
      <c t="s" s="30" r="D2765">
        <v>147</v>
      </c>
      <c t="s" s="30" r="E2765">
        <v>4</v>
      </c>
      <c t="s" s="30" r="F2765">
        <v>4</v>
      </c>
      <c t="s" s="30" r="G2765">
        <v>299</v>
      </c>
      <c t="str" s="12" r="H2765">
        <f>HYPERLINK("http://sofifa.com/en/fifa13winter/player/150733-hervin-ongenda","H. Ongenda")</f>
        <v>H. Ongenda</v>
      </c>
      <c s="30" r="I2765">
        <v>59</v>
      </c>
      <c t="s" s="30" r="J2765">
        <v>162</v>
      </c>
      <c t="s" s="30" r="K2765">
        <v>121</v>
      </c>
      <c t="s" s="30" r="L2765">
        <v>141</v>
      </c>
      <c s="30" r="M2765">
        <v>17</v>
      </c>
      <c s="26" r="N2765">
        <v>0.5</v>
      </c>
      <c s="23" r="O2765">
        <v>0.002</v>
      </c>
      <c s="7" r="P2765"/>
      <c s="7" r="Q2765"/>
      <c s="7" r="R2765">
        <f>IF((P2765&gt;0),O2765,0)</f>
        <v>0</v>
      </c>
      <c t="str" r="S2765">
        <f>CONCATENATE(F2765,E2765)</f>
        <v>NON FTLNON FTL</v>
      </c>
    </row>
    <row r="2766">
      <c t="s" s="7" r="A2766">
        <v>201</v>
      </c>
      <c s="7" r="B2766">
        <v>2793</v>
      </c>
      <c s="30" r="C2766">
        <v>36</v>
      </c>
      <c t="s" s="30" r="D2766">
        <v>147</v>
      </c>
      <c t="s" s="30" r="E2766">
        <v>4</v>
      </c>
      <c t="s" s="30" r="F2766">
        <v>4</v>
      </c>
      <c t="s" s="30" r="G2766">
        <v>299</v>
      </c>
      <c t="str" s="12" r="H2766">
        <f>HYPERLINK("http://sofifa.com/en/fifa13winter/player/151088-kingsley-coman","K. Coman")</f>
        <v>K. Coman</v>
      </c>
      <c s="30" r="I2766">
        <v>60</v>
      </c>
      <c t="s" s="30" r="J2766">
        <v>157</v>
      </c>
      <c t="s" s="30" r="K2766">
        <v>118</v>
      </c>
      <c t="s" s="30" r="L2766">
        <v>142</v>
      </c>
      <c s="30" r="M2766">
        <v>16</v>
      </c>
      <c s="26" r="N2766">
        <v>0.6</v>
      </c>
      <c s="23" r="O2766">
        <v>0.002</v>
      </c>
      <c s="7" r="P2766"/>
      <c s="7" r="Q2766"/>
      <c s="7" r="R2766">
        <f>IF((P2766&gt;0),O2766,0)</f>
        <v>0</v>
      </c>
      <c t="str" r="S2766">
        <f>CONCATENATE(F2766,E2766)</f>
        <v>NON FTLNON FTL</v>
      </c>
    </row>
    <row r="2767">
      <c t="s" s="7" r="A2767">
        <v>201</v>
      </c>
      <c s="7" r="B2767">
        <v>2794</v>
      </c>
      <c s="30" r="C2767">
        <v>34</v>
      </c>
      <c t="s" s="30" r="D2767">
        <v>147</v>
      </c>
      <c t="s" s="30" r="E2767">
        <v>4</v>
      </c>
      <c t="s" s="30" r="F2767">
        <v>4</v>
      </c>
      <c t="s" s="30" r="G2767">
        <v>299</v>
      </c>
      <c t="str" s="12" r="H2767">
        <f>HYPERLINK("http://sofifa.com/en/fifa13winter/player/150222-antoine-conte","A. Conté")</f>
        <v>A. Conté</v>
      </c>
      <c s="30" r="I2767">
        <v>59</v>
      </c>
      <c t="s" s="30" r="J2767">
        <v>113</v>
      </c>
      <c t="s" s="30" r="K2767">
        <v>110</v>
      </c>
      <c t="s" s="30" r="L2767">
        <v>119</v>
      </c>
      <c s="30" r="M2767">
        <v>18</v>
      </c>
      <c s="26" r="N2767">
        <v>0.4</v>
      </c>
      <c s="23" r="O2767">
        <v>0.002</v>
      </c>
      <c s="7" r="P2767"/>
      <c s="7" r="Q2767"/>
      <c s="7" r="R2767">
        <f>IF((P2767&gt;0),O2767,0)</f>
        <v>0</v>
      </c>
      <c t="str" r="S2767">
        <f>CONCATENATE(F2767,E2767)</f>
        <v>NON FTLNON FTL</v>
      </c>
    </row>
    <row r="2768">
      <c t="s" s="7" r="A2768">
        <v>201</v>
      </c>
      <c s="7" r="B2768">
        <v>2795</v>
      </c>
      <c s="30" r="C2768">
        <v>37</v>
      </c>
      <c t="s" s="30" r="D2768">
        <v>147</v>
      </c>
      <c t="s" s="30" r="E2768">
        <v>4</v>
      </c>
      <c t="s" s="30" r="F2768">
        <v>4</v>
      </c>
      <c t="s" s="30" r="G2768">
        <v>299</v>
      </c>
      <c t="str" s="12" r="H2768">
        <f>HYPERLINK("http://sofifa.com/en/fifa13winter/player/149217-youness-el-baillal","Y. El Baillal")</f>
        <v>Y. El Baillal</v>
      </c>
      <c s="30" r="I2768">
        <v>59</v>
      </c>
      <c t="s" s="30" r="J2768">
        <v>162</v>
      </c>
      <c t="s" s="30" r="K2768">
        <v>187</v>
      </c>
      <c t="s" s="30" r="L2768">
        <v>125</v>
      </c>
      <c s="30" r="M2768">
        <v>21</v>
      </c>
      <c s="26" r="N2768">
        <v>0.5</v>
      </c>
      <c s="23" r="O2768">
        <v>0.003</v>
      </c>
      <c s="7" r="P2768"/>
      <c s="7" r="Q2768"/>
      <c s="7" r="R2768">
        <f>IF((P2768&gt;0),O2768,0)</f>
        <v>0</v>
      </c>
      <c t="str" r="S2768">
        <f>CONCATENATE(F2768,E2768)</f>
        <v>NON FTLNON FTL</v>
      </c>
    </row>
    <row r="2769">
      <c t="s" s="7" r="A2769">
        <v>201</v>
      </c>
      <c s="7" r="B2769">
        <v>2796</v>
      </c>
      <c s="30" r="C2769">
        <v>33</v>
      </c>
      <c t="s" s="30" r="D2769">
        <v>147</v>
      </c>
      <c t="s" s="30" r="E2769">
        <v>4</v>
      </c>
      <c t="s" s="30" r="F2769">
        <v>4</v>
      </c>
      <c t="s" s="30" r="G2769">
        <v>299</v>
      </c>
      <c t="str" s="12" r="H2769">
        <f>HYPERLINK("http://sofifa.com/en/fifa13winter/player/150143-alvin-arrondel","A. Arrondel")</f>
        <v>A. Arrondel</v>
      </c>
      <c s="30" r="I2769">
        <v>59</v>
      </c>
      <c t="s" s="30" r="J2769">
        <v>113</v>
      </c>
      <c t="s" s="30" r="K2769">
        <v>145</v>
      </c>
      <c t="s" s="30" r="L2769">
        <v>125</v>
      </c>
      <c s="30" r="M2769">
        <v>18</v>
      </c>
      <c s="26" r="N2769">
        <v>0.4</v>
      </c>
      <c s="23" r="O2769">
        <v>0.002</v>
      </c>
      <c s="7" r="P2769"/>
      <c s="7" r="Q2769"/>
      <c s="7" r="R2769">
        <f>IF((P2769&gt;0),O2769,0)</f>
        <v>0</v>
      </c>
      <c t="str" r="S2769">
        <f>CONCATENATE(F2769,E2769)</f>
        <v>NON FTLNON FTL</v>
      </c>
    </row>
    <row r="2770">
      <c t="s" s="7" r="A2770">
        <v>201</v>
      </c>
      <c s="7" r="B2770">
        <v>2797</v>
      </c>
      <c s="30" r="C2770">
        <v>40</v>
      </c>
      <c t="s" s="30" r="D2770">
        <v>147</v>
      </c>
      <c t="s" s="30" r="E2770">
        <v>4</v>
      </c>
      <c t="s" s="30" r="F2770">
        <v>4</v>
      </c>
      <c t="s" s="30" r="G2770">
        <v>299</v>
      </c>
      <c t="str" s="12" r="H2770">
        <f>HYPERLINK("http://sofifa.com/en/fifa13winter/player/143082-ronan-le-crom","R. Le Crom")</f>
        <v>R. Le Crom</v>
      </c>
      <c s="30" r="I2770">
        <v>67</v>
      </c>
      <c t="s" s="30" r="J2770">
        <v>106</v>
      </c>
      <c t="s" s="30" r="K2770">
        <v>173</v>
      </c>
      <c t="s" s="30" r="L2770">
        <v>138</v>
      </c>
      <c s="30" r="M2770">
        <v>38</v>
      </c>
      <c s="26" r="N2770">
        <v>0.5</v>
      </c>
      <c s="23" r="O2770">
        <v>0.007</v>
      </c>
      <c s="7" r="P2770"/>
      <c s="7" r="Q2770"/>
      <c s="7" r="R2770">
        <f>IF((P2770&gt;0),O2770,0)</f>
        <v>0</v>
      </c>
      <c t="str" r="S2770">
        <f>CONCATENATE(F2770,E2770)</f>
        <v>NON FTLNON FTL</v>
      </c>
    </row>
    <row r="2771">
      <c t="s" s="7" r="A2771">
        <v>201</v>
      </c>
      <c s="7" r="B2771">
        <v>2798</v>
      </c>
      <c s="30" r="C2771">
        <v>35</v>
      </c>
      <c t="s" s="30" r="D2771">
        <v>147</v>
      </c>
      <c t="s" s="30" r="E2771">
        <v>4</v>
      </c>
      <c t="s" s="30" r="F2771">
        <v>4</v>
      </c>
      <c t="s" s="30" r="G2771">
        <v>299</v>
      </c>
      <c t="str" s="12" r="H2771">
        <f>HYPERLINK("http://sofifa.com/en/fifa13winter/player/149330-kalifa-coulibaly","K. Coulibaly")</f>
        <v>K. Coulibaly</v>
      </c>
      <c s="30" r="I2771">
        <v>61</v>
      </c>
      <c t="s" s="30" r="J2771">
        <v>129</v>
      </c>
      <c t="s" s="30" r="K2771">
        <v>215</v>
      </c>
      <c t="s" s="30" r="L2771">
        <v>156</v>
      </c>
      <c s="30" r="M2771">
        <v>21</v>
      </c>
      <c s="26" r="N2771">
        <v>0.8</v>
      </c>
      <c s="23" r="O2771">
        <v>0.003</v>
      </c>
      <c s="7" r="P2771"/>
      <c s="7" r="Q2771"/>
      <c s="7" r="R2771">
        <f>IF((P2771&gt;0),O2771,0)</f>
        <v>0</v>
      </c>
      <c t="str" r="S2771">
        <f>CONCATENATE(F2771,E2771)</f>
        <v>NON FTLNON FTL</v>
      </c>
    </row>
    <row r="2772">
      <c t="s" s="7" r="A2772">
        <v>201</v>
      </c>
      <c s="7" r="B2772">
        <v>2799</v>
      </c>
      <c s="30" r="C2772">
        <v>16</v>
      </c>
      <c t="s" s="30" r="D2772">
        <v>147</v>
      </c>
      <c t="s" s="30" r="E2772">
        <v>4</v>
      </c>
      <c t="s" s="30" r="F2772">
        <v>4</v>
      </c>
      <c t="s" s="30" r="G2772">
        <v>299</v>
      </c>
      <c t="str" s="12" r="H2772">
        <f>HYPERLINK("http://sofifa.com/en/fifa13winter/player/149886-alphonse-areola","A. Aréola")</f>
        <v>A. Aréola</v>
      </c>
      <c s="30" r="I2772">
        <v>65</v>
      </c>
      <c t="s" s="30" r="J2772">
        <v>106</v>
      </c>
      <c t="s" s="30" r="K2772">
        <v>144</v>
      </c>
      <c t="s" s="30" r="L2772">
        <v>175</v>
      </c>
      <c s="30" r="M2772">
        <v>19</v>
      </c>
      <c s="26" r="N2772">
        <v>1</v>
      </c>
      <c s="23" r="O2772">
        <v>0.004</v>
      </c>
      <c s="7" r="P2772"/>
      <c s="7" r="Q2772"/>
      <c s="7" r="R2772">
        <f>IF((P2772&gt;0),O2772,0)</f>
        <v>0</v>
      </c>
      <c t="str" r="S2772">
        <f>CONCATENATE(F2772,E2772)</f>
        <v>NON FTLNON FTL</v>
      </c>
    </row>
    <row r="2773">
      <c t="s" s="7" r="A2773">
        <v>201</v>
      </c>
      <c s="7" r="B2773">
        <v>2800</v>
      </c>
      <c s="30" r="C2773">
        <v>42</v>
      </c>
      <c t="s" s="30" r="D2773">
        <v>147</v>
      </c>
      <c t="s" s="30" r="E2773">
        <v>4</v>
      </c>
      <c t="s" s="30" r="F2773">
        <v>4</v>
      </c>
      <c t="s" s="30" r="G2773">
        <v>299</v>
      </c>
      <c t="str" s="12" r="H2773">
        <f>HYPERLINK("http://sofifa.com/en/fifa13winter/player/149892-youssouf-sabaly","Y. Sabaly")</f>
        <v>Y. Sabaly</v>
      </c>
      <c s="30" r="I2773">
        <v>59</v>
      </c>
      <c t="s" s="30" r="J2773">
        <v>109</v>
      </c>
      <c t="s" s="30" r="K2773">
        <v>182</v>
      </c>
      <c t="s" s="30" r="L2773">
        <v>122</v>
      </c>
      <c s="30" r="M2773">
        <v>19</v>
      </c>
      <c s="26" r="N2773">
        <v>0.4</v>
      </c>
      <c s="23" r="O2773">
        <v>0.002</v>
      </c>
      <c s="7" r="P2773"/>
      <c s="7" r="Q2773"/>
      <c s="7" r="R2773">
        <f>IF((P2773&gt;0),O2773,0)</f>
        <v>0</v>
      </c>
      <c t="str" r="S2773">
        <f>CONCATENATE(F2773,E2773)</f>
        <v>NON FTLNON FTL</v>
      </c>
    </row>
    <row r="2774">
      <c t="s" s="7" r="A2774">
        <v>201</v>
      </c>
      <c s="7" r="B2774">
        <v>2801</v>
      </c>
      <c s="30" r="C2774">
        <v>13</v>
      </c>
      <c t="s" s="30" r="D2774">
        <v>106</v>
      </c>
      <c t="s" s="30" r="E2774">
        <v>4</v>
      </c>
      <c t="s" s="30" r="F2774">
        <v>4</v>
      </c>
      <c t="s" s="30" r="G2774">
        <v>300</v>
      </c>
      <c t="str" s="12" r="H2774">
        <f>HYPERLINK("http://sofifa.com/en/fifa13winter/player/149594-thibaut-courtois","T. Courtois")</f>
        <v>T. Courtois</v>
      </c>
      <c s="30" r="I2774">
        <v>83</v>
      </c>
      <c t="s" s="30" r="J2774">
        <v>106</v>
      </c>
      <c t="s" s="30" r="K2774">
        <v>196</v>
      </c>
      <c t="s" s="30" r="L2774">
        <v>175</v>
      </c>
      <c s="30" r="M2774">
        <v>20</v>
      </c>
      <c s="26" r="N2774">
        <v>14.4</v>
      </c>
      <c s="23" r="O2774">
        <v>0.057</v>
      </c>
      <c s="7" r="P2774"/>
      <c s="7" r="Q2774"/>
      <c s="7" r="R2774">
        <f>IF((P2774&gt;0),O2774,0)</f>
        <v>0</v>
      </c>
      <c t="str" r="S2774">
        <f>CONCATENATE(F2774,E2774)</f>
        <v>NON FTLNON FTL</v>
      </c>
    </row>
    <row r="2775">
      <c t="s" s="7" r="A2775">
        <v>201</v>
      </c>
      <c s="7" r="B2775">
        <v>2802</v>
      </c>
      <c s="30" r="C2775">
        <v>20</v>
      </c>
      <c t="s" s="30" r="D2775">
        <v>109</v>
      </c>
      <c t="s" s="30" r="E2775">
        <v>4</v>
      </c>
      <c t="s" s="30" r="F2775">
        <v>4</v>
      </c>
      <c t="s" s="30" r="G2775">
        <v>300</v>
      </c>
      <c t="str" s="12" r="H2775">
        <f>HYPERLINK("http://sofifa.com/en/fifa13winter/player/146915-juan-francisco-torres-belen","Juanfran")</f>
        <v>Juanfran</v>
      </c>
      <c s="30" r="I2775">
        <v>79</v>
      </c>
      <c t="s" s="30" r="J2775">
        <v>109</v>
      </c>
      <c t="s" s="30" r="K2775">
        <v>150</v>
      </c>
      <c t="s" s="30" r="L2775">
        <v>146</v>
      </c>
      <c s="30" r="M2775">
        <v>27</v>
      </c>
      <c s="26" r="N2775">
        <v>6.6</v>
      </c>
      <c s="23" r="O2775">
        <v>0.022</v>
      </c>
      <c s="7" r="P2775"/>
      <c s="7" r="Q2775"/>
      <c s="7" r="R2775">
        <f>IF((P2775&gt;0),O2775,0)</f>
        <v>0</v>
      </c>
      <c t="str" r="S2775">
        <f>CONCATENATE(F2775,E2775)</f>
        <v>NON FTLNON FTL</v>
      </c>
    </row>
    <row r="2776">
      <c t="s" s="7" r="A2776">
        <v>201</v>
      </c>
      <c s="7" r="B2776">
        <v>2803</v>
      </c>
      <c s="30" r="C2776">
        <v>23</v>
      </c>
      <c t="s" s="30" r="D2776">
        <v>112</v>
      </c>
      <c t="s" s="30" r="E2776">
        <v>4</v>
      </c>
      <c t="s" s="30" r="F2776">
        <v>4</v>
      </c>
      <c t="s" s="30" r="G2776">
        <v>300</v>
      </c>
      <c t="str" s="12" r="H2776">
        <f>HYPERLINK("http://sofifa.com/en/fifa13winter/player/146791-joao-miranda-de-souza-filho","Miranda")</f>
        <v>Miranda</v>
      </c>
      <c s="30" r="I2776">
        <v>80</v>
      </c>
      <c t="s" s="30" r="J2776">
        <v>113</v>
      </c>
      <c t="s" s="30" r="K2776">
        <v>132</v>
      </c>
      <c t="s" s="30" r="L2776">
        <v>161</v>
      </c>
      <c s="30" r="M2776">
        <v>27</v>
      </c>
      <c s="26" r="N2776">
        <v>9.3</v>
      </c>
      <c s="23" r="O2776">
        <v>0.03</v>
      </c>
      <c s="7" r="P2776"/>
      <c s="7" r="Q2776"/>
      <c s="7" r="R2776">
        <f>IF((P2776&gt;0),O2776,0)</f>
        <v>0</v>
      </c>
      <c t="str" r="S2776">
        <f>CONCATENATE(F2776,E2776)</f>
        <v>NON FTLNON FTL</v>
      </c>
    </row>
    <row r="2777">
      <c t="s" s="7" r="A2777">
        <v>201</v>
      </c>
      <c s="7" r="B2777">
        <v>2804</v>
      </c>
      <c s="30" r="C2777">
        <v>2</v>
      </c>
      <c t="s" s="30" r="D2777">
        <v>116</v>
      </c>
      <c t="s" s="30" r="E2777">
        <v>4</v>
      </c>
      <c t="s" s="30" r="F2777">
        <v>4</v>
      </c>
      <c t="s" s="30" r="G2777">
        <v>300</v>
      </c>
      <c t="str" s="12" r="H2777">
        <f>HYPERLINK("http://sofifa.com/en/fifa13winter/player/147318-diego-godin","D. Godín")</f>
        <v>D. Godín</v>
      </c>
      <c s="30" r="I2777">
        <v>82</v>
      </c>
      <c t="s" s="30" r="J2777">
        <v>113</v>
      </c>
      <c t="s" s="30" r="K2777">
        <v>132</v>
      </c>
      <c t="s" s="30" r="L2777">
        <v>151</v>
      </c>
      <c s="30" r="M2777">
        <v>26</v>
      </c>
      <c s="26" r="N2777">
        <v>14</v>
      </c>
      <c s="23" r="O2777">
        <v>0.053</v>
      </c>
      <c s="7" r="P2777"/>
      <c s="7" r="Q2777"/>
      <c s="7" r="R2777">
        <f>IF((P2777&gt;0),O2777,0)</f>
        <v>0</v>
      </c>
      <c t="str" r="S2777">
        <f>CONCATENATE(F2777,E2777)</f>
        <v>NON FTLNON FTL</v>
      </c>
    </row>
    <row r="2778">
      <c t="s" s="7" r="A2778">
        <v>201</v>
      </c>
      <c s="7" r="B2778">
        <v>2805</v>
      </c>
      <c s="30" r="C2778">
        <v>3</v>
      </c>
      <c t="s" s="30" r="D2778">
        <v>117</v>
      </c>
      <c t="s" s="30" r="E2778">
        <v>4</v>
      </c>
      <c t="s" s="30" r="F2778">
        <v>4</v>
      </c>
      <c t="s" s="30" r="G2778">
        <v>300</v>
      </c>
      <c t="str" s="12" r="H2778">
        <f>HYPERLINK("http://sofifa.com/en/fifa13winter/player/147127-filipe-luis-kasmirski","Filipe Luís")</f>
        <v>Filipe Luís</v>
      </c>
      <c s="30" r="I2778">
        <v>81</v>
      </c>
      <c t="s" s="30" r="J2778">
        <v>117</v>
      </c>
      <c t="s" s="30" r="K2778">
        <v>143</v>
      </c>
      <c t="s" s="30" r="L2778">
        <v>122</v>
      </c>
      <c s="30" r="M2778">
        <v>27</v>
      </c>
      <c s="26" r="N2778">
        <v>10.5</v>
      </c>
      <c s="23" r="O2778">
        <v>0.04</v>
      </c>
      <c s="7" r="P2778"/>
      <c s="7" r="Q2778"/>
      <c s="7" r="R2778">
        <f>IF((P2778&gt;0),O2778,0)</f>
        <v>0</v>
      </c>
      <c t="str" r="S2778">
        <f>CONCATENATE(F2778,E2778)</f>
        <v>NON FTLNON FTL</v>
      </c>
    </row>
    <row r="2779">
      <c t="s" s="7" r="A2779">
        <v>201</v>
      </c>
      <c s="7" r="B2779">
        <v>2806</v>
      </c>
      <c s="30" r="C2779">
        <v>6</v>
      </c>
      <c t="s" s="30" r="D2779">
        <v>120</v>
      </c>
      <c t="s" s="30" r="E2779">
        <v>4</v>
      </c>
      <c t="s" s="30" r="F2779">
        <v>4</v>
      </c>
      <c t="s" s="30" r="G2779">
        <v>300</v>
      </c>
      <c t="str" s="12" r="H2779">
        <f>HYPERLINK("http://sofifa.com/en/fifa13winter/player/149470-jorge-resurreccion-m","Koke")</f>
        <v>Koke</v>
      </c>
      <c s="30" r="I2779">
        <v>80</v>
      </c>
      <c t="s" s="30" r="J2779">
        <v>120</v>
      </c>
      <c t="s" s="30" r="K2779">
        <v>118</v>
      </c>
      <c t="s" s="30" r="L2779">
        <v>119</v>
      </c>
      <c s="30" r="M2779">
        <v>20</v>
      </c>
      <c s="26" r="N2779">
        <v>11.3</v>
      </c>
      <c s="23" r="O2779">
        <v>0.025</v>
      </c>
      <c s="7" r="P2779"/>
      <c s="7" r="Q2779"/>
      <c s="7" r="R2779">
        <f>IF((P2779&gt;0),O2779,0)</f>
        <v>0</v>
      </c>
      <c t="str" r="S2779">
        <f>CONCATENATE(F2779,E2779)</f>
        <v>NON FTLNON FTL</v>
      </c>
    </row>
    <row r="2780">
      <c t="s" s="7" r="A2780">
        <v>201</v>
      </c>
      <c s="7" r="B2780">
        <v>2807</v>
      </c>
      <c s="30" r="C2780">
        <v>14</v>
      </c>
      <c t="s" s="30" r="D2780">
        <v>123</v>
      </c>
      <c t="s" s="30" r="E2780">
        <v>4</v>
      </c>
      <c t="s" s="30" r="F2780">
        <v>4</v>
      </c>
      <c t="s" s="30" r="G2780">
        <v>300</v>
      </c>
      <c t="str" s="12" r="H2780">
        <f>HYPERLINK("http://sofifa.com/en/fifa13winter/player/146366-gabriel-fernandez-arenas","Gabi")</f>
        <v>Gabi</v>
      </c>
      <c s="30" r="I2780">
        <v>80</v>
      </c>
      <c t="s" s="30" r="J2780">
        <v>124</v>
      </c>
      <c t="s" s="30" r="K2780">
        <v>145</v>
      </c>
      <c t="s" s="30" r="L2780">
        <v>119</v>
      </c>
      <c s="30" r="M2780">
        <v>29</v>
      </c>
      <c s="26" r="N2780">
        <v>8.6</v>
      </c>
      <c s="23" r="O2780">
        <v>0.032</v>
      </c>
      <c s="7" r="P2780"/>
      <c s="7" r="Q2780"/>
      <c s="7" r="R2780">
        <f>IF((P2780&gt;0),O2780,0)</f>
        <v>0</v>
      </c>
      <c t="str" r="S2780">
        <f>CONCATENATE(F2780,E2780)</f>
        <v>NON FTLNON FTL</v>
      </c>
    </row>
    <row r="2781">
      <c t="s" s="7" r="A2781">
        <v>201</v>
      </c>
      <c s="7" r="B2781">
        <v>2808</v>
      </c>
      <c s="30" r="C2781">
        <v>5</v>
      </c>
      <c t="s" s="30" r="D2781">
        <v>126</v>
      </c>
      <c t="s" s="30" r="E2781">
        <v>4</v>
      </c>
      <c t="s" s="30" r="F2781">
        <v>4</v>
      </c>
      <c t="s" s="30" r="G2781">
        <v>300</v>
      </c>
      <c t="str" s="12" r="H2781">
        <f>HYPERLINK("http://sofifa.com/en/fifa13winter/player/145567-tiago-cardoso-mendes","Tiago")</f>
        <v>Tiago</v>
      </c>
      <c s="30" r="I2781">
        <v>80</v>
      </c>
      <c t="s" s="30" r="J2781">
        <v>124</v>
      </c>
      <c t="s" s="30" r="K2781">
        <v>110</v>
      </c>
      <c t="s" s="30" r="L2781">
        <v>151</v>
      </c>
      <c s="30" r="M2781">
        <v>31</v>
      </c>
      <c s="26" r="N2781">
        <v>7.6</v>
      </c>
      <c s="23" r="O2781">
        <v>0.035</v>
      </c>
      <c s="7" r="P2781"/>
      <c s="7" r="Q2781"/>
      <c s="7" r="R2781">
        <f>IF((P2781&gt;0),O2781,0)</f>
        <v>0</v>
      </c>
      <c t="str" r="S2781">
        <f>CONCATENATE(F2781,E2781)</f>
        <v>NON FTLNON FTL</v>
      </c>
    </row>
    <row r="2782">
      <c t="s" s="7" r="A2782">
        <v>201</v>
      </c>
      <c s="7" r="B2782">
        <v>2809</v>
      </c>
      <c s="30" r="C2782">
        <v>10</v>
      </c>
      <c t="s" s="30" r="D2782">
        <v>128</v>
      </c>
      <c t="s" s="30" r="E2782">
        <v>4</v>
      </c>
      <c t="s" s="30" r="F2782">
        <v>4</v>
      </c>
      <c t="s" s="30" r="G2782">
        <v>300</v>
      </c>
      <c t="str" s="12" r="H2782">
        <f>HYPERLINK("http://sofifa.com/en/fifa13winter/player/147666-arda-turan","A. Turan")</f>
        <v>A. Turan</v>
      </c>
      <c s="30" r="I2782">
        <v>84</v>
      </c>
      <c t="s" s="30" r="J2782">
        <v>128</v>
      </c>
      <c t="s" s="30" r="K2782">
        <v>172</v>
      </c>
      <c t="s" s="30" r="L2782">
        <v>146</v>
      </c>
      <c s="30" r="M2782">
        <v>25</v>
      </c>
      <c s="26" r="N2782">
        <v>19.6</v>
      </c>
      <c s="23" r="O2782">
        <v>0.083</v>
      </c>
      <c s="7" r="P2782"/>
      <c s="7" r="Q2782"/>
      <c s="7" r="R2782">
        <f>IF((P2782&gt;0),O2782,0)</f>
        <v>0</v>
      </c>
      <c t="str" r="S2782">
        <f>CONCATENATE(F2782,E2782)</f>
        <v>NON FTLNON FTL</v>
      </c>
    </row>
    <row r="2783">
      <c t="s" s="7" r="A2783">
        <v>201</v>
      </c>
      <c s="7" r="B2783">
        <v>2810</v>
      </c>
      <c s="30" r="C2783">
        <v>7</v>
      </c>
      <c t="s" s="30" r="D2783">
        <v>131</v>
      </c>
      <c t="s" s="30" r="E2783">
        <v>4</v>
      </c>
      <c t="s" s="30" r="F2783">
        <v>4</v>
      </c>
      <c t="s" s="30" r="G2783">
        <v>300</v>
      </c>
      <c t="str" s="12" r="H2783">
        <f>HYPERLINK("http://sofifa.com/en/fifa13winter/player/148009-adrian-lopez-alvarez","Adrián")</f>
        <v>Adrián</v>
      </c>
      <c s="30" r="I2783">
        <v>79</v>
      </c>
      <c t="s" s="30" r="J2783">
        <v>129</v>
      </c>
      <c t="s" s="30" r="K2783">
        <v>114</v>
      </c>
      <c t="s" s="30" r="L2783">
        <v>142</v>
      </c>
      <c s="30" r="M2783">
        <v>24</v>
      </c>
      <c s="26" r="N2783">
        <v>8.8</v>
      </c>
      <c s="23" r="O2783">
        <v>0.022</v>
      </c>
      <c s="7" r="P2783"/>
      <c s="7" r="Q2783"/>
      <c s="7" r="R2783">
        <f>IF((P2783&gt;0),O2783,0)</f>
        <v>0</v>
      </c>
      <c t="str" r="S2783">
        <f>CONCATENATE(F2783,E2783)</f>
        <v>NON FTLNON FTL</v>
      </c>
    </row>
    <row r="2784">
      <c t="s" s="7" r="A2784">
        <v>201</v>
      </c>
      <c s="7" r="B2784">
        <v>2811</v>
      </c>
      <c s="30" r="C2784">
        <v>19</v>
      </c>
      <c t="s" s="30" r="D2784">
        <v>133</v>
      </c>
      <c t="s" s="30" r="E2784">
        <v>4</v>
      </c>
      <c t="s" s="30" r="F2784">
        <v>4</v>
      </c>
      <c t="s" s="30" r="G2784">
        <v>300</v>
      </c>
      <c t="str" s="12" r="H2784">
        <f>HYPERLINK("http://sofifa.com/en/fifa13winter/player/148282-diego-da-silva-costa","Diego Costa")</f>
        <v>Diego Costa</v>
      </c>
      <c s="30" r="I2784">
        <v>81</v>
      </c>
      <c t="s" s="30" r="J2784">
        <v>129</v>
      </c>
      <c t="s" s="30" r="K2784">
        <v>134</v>
      </c>
      <c t="s" s="30" r="L2784">
        <v>179</v>
      </c>
      <c s="30" r="M2784">
        <v>23</v>
      </c>
      <c s="26" r="N2784">
        <v>15.7</v>
      </c>
      <c s="23" r="O2784">
        <v>0.038</v>
      </c>
      <c s="7" r="P2784"/>
      <c s="7" r="Q2784"/>
      <c s="7" r="R2784">
        <f>IF((P2784&gt;0),O2784,0)</f>
        <v>0</v>
      </c>
      <c t="str" r="S2784">
        <f>CONCATENATE(F2784,E2784)</f>
        <v>NON FTLNON FTL</v>
      </c>
    </row>
    <row r="2785">
      <c t="s" s="7" r="A2785">
        <v>201</v>
      </c>
      <c s="7" r="B2785">
        <v>2812</v>
      </c>
      <c s="30" r="C2785">
        <v>30</v>
      </c>
      <c t="s" s="30" r="D2785">
        <v>136</v>
      </c>
      <c t="s" s="30" r="E2785">
        <v>4</v>
      </c>
      <c t="s" s="30" r="F2785">
        <v>4</v>
      </c>
      <c t="s" s="30" r="G2785">
        <v>300</v>
      </c>
      <c t="str" s="12" r="H2785">
        <f>HYPERLINK("http://sofifa.com/en/fifa13winter/player/150507-oliver-torres-munoz","Oliver Torres")</f>
        <v>Oliver Torres</v>
      </c>
      <c s="30" r="I2785">
        <v>70</v>
      </c>
      <c t="s" s="30" r="J2785">
        <v>162</v>
      </c>
      <c t="s" s="30" r="K2785">
        <v>118</v>
      </c>
      <c t="s" s="30" r="L2785">
        <v>122</v>
      </c>
      <c s="30" r="M2785">
        <v>17</v>
      </c>
      <c s="26" r="N2785">
        <v>2.5</v>
      </c>
      <c s="23" r="O2785">
        <v>0.005</v>
      </c>
      <c s="7" r="P2785"/>
      <c s="7" r="Q2785"/>
      <c s="7" r="R2785">
        <f>IF((P2785&gt;0),O2785,0)</f>
        <v>0</v>
      </c>
      <c t="str" r="S2785">
        <f>CONCATENATE(F2785,E2785)</f>
        <v>NON FTLNON FTL</v>
      </c>
    </row>
    <row r="2786">
      <c t="s" s="7" r="A2786">
        <v>201</v>
      </c>
      <c s="7" r="B2786">
        <v>2813</v>
      </c>
      <c s="30" r="C2786">
        <v>12</v>
      </c>
      <c t="s" s="30" r="D2786">
        <v>136</v>
      </c>
      <c t="s" s="30" r="E2786">
        <v>4</v>
      </c>
      <c t="s" s="30" r="F2786">
        <v>4</v>
      </c>
      <c t="s" s="30" r="G2786">
        <v>300</v>
      </c>
      <c t="str" s="12" r="H2786">
        <f>HYPERLINK("http://sofifa.com/en/fifa13winter/player/149191-jorge-pulido-mayoral","Pulido")</f>
        <v>Pulido</v>
      </c>
      <c s="30" r="I2786">
        <v>70</v>
      </c>
      <c t="s" s="30" r="J2786">
        <v>113</v>
      </c>
      <c t="s" s="30" r="K2786">
        <v>132</v>
      </c>
      <c t="s" s="30" r="L2786">
        <v>160</v>
      </c>
      <c s="30" r="M2786">
        <v>21</v>
      </c>
      <c s="26" r="N2786">
        <v>2</v>
      </c>
      <c s="23" r="O2786">
        <v>0.006</v>
      </c>
      <c s="7" r="P2786"/>
      <c s="7" r="Q2786"/>
      <c s="7" r="R2786">
        <f>IF((P2786&gt;0),O2786,0)</f>
        <v>0</v>
      </c>
      <c t="str" r="S2786">
        <f>CONCATENATE(F2786,E2786)</f>
        <v>NON FTLNON FTL</v>
      </c>
    </row>
    <row r="2787">
      <c t="s" s="7" r="A2787">
        <v>201</v>
      </c>
      <c s="7" r="B2787">
        <v>2814</v>
      </c>
      <c s="30" r="C2787">
        <v>26</v>
      </c>
      <c t="s" s="30" r="D2787">
        <v>136</v>
      </c>
      <c t="s" s="30" r="E2787">
        <v>4</v>
      </c>
      <c t="s" s="30" r="F2787">
        <v>4</v>
      </c>
      <c t="s" s="30" r="G2787">
        <v>300</v>
      </c>
      <c t="str" s="12" r="H2787">
        <f>HYPERLINK("http://sofifa.com/en/fifa13winter/player/150318-javier-manquillo-gaitan","Manquillo")</f>
        <v>Manquillo</v>
      </c>
      <c s="30" r="I2787">
        <v>62</v>
      </c>
      <c t="s" s="30" r="J2787">
        <v>109</v>
      </c>
      <c t="s" s="30" r="K2787">
        <v>114</v>
      </c>
      <c t="s" s="30" r="L2787">
        <v>137</v>
      </c>
      <c s="30" r="M2787">
        <v>18</v>
      </c>
      <c s="26" r="N2787">
        <v>0.7</v>
      </c>
      <c s="23" r="O2787">
        <v>0.003</v>
      </c>
      <c s="7" r="P2787"/>
      <c s="7" r="Q2787"/>
      <c s="7" r="R2787">
        <f>IF((P2787&gt;0),O2787,0)</f>
        <v>0</v>
      </c>
      <c t="str" r="S2787">
        <f>CONCATENATE(F2787,E2787)</f>
        <v>NON FTLNON FTL</v>
      </c>
    </row>
    <row r="2788">
      <c t="s" s="7" r="A2788">
        <v>201</v>
      </c>
      <c s="7" r="B2788">
        <v>2815</v>
      </c>
      <c s="30" r="C2788">
        <v>42</v>
      </c>
      <c t="s" s="30" r="D2788">
        <v>136</v>
      </c>
      <c t="s" s="30" r="E2788">
        <v>4</v>
      </c>
      <c t="s" s="30" r="F2788">
        <v>4</v>
      </c>
      <c t="s" s="30" r="G2788">
        <v>300</v>
      </c>
      <c t="str" s="12" r="H2788">
        <f>HYPERLINK("http://sofifa.com/en/fifa13winter/player/149377-abdelkader-oueslati-kaab","Kader")</f>
        <v>Kader</v>
      </c>
      <c s="30" r="I2788">
        <v>65</v>
      </c>
      <c t="s" s="30" r="J2788">
        <v>120</v>
      </c>
      <c t="s" s="30" r="K2788">
        <v>167</v>
      </c>
      <c t="s" s="30" r="L2788">
        <v>142</v>
      </c>
      <c s="30" r="M2788">
        <v>20</v>
      </c>
      <c s="26" r="N2788">
        <v>1.1</v>
      </c>
      <c s="23" r="O2788">
        <v>0.004</v>
      </c>
      <c s="7" r="P2788"/>
      <c s="7" r="Q2788"/>
      <c s="7" r="R2788">
        <f>IF((P2788&gt;0),O2788,0)</f>
        <v>0</v>
      </c>
      <c t="str" r="S2788">
        <f>CONCATENATE(F2788,E2788)</f>
        <v>NON FTLNON FTL</v>
      </c>
    </row>
    <row r="2789">
      <c t="s" s="7" r="A2789">
        <v>201</v>
      </c>
      <c s="7" r="B2789">
        <v>2816</v>
      </c>
      <c s="30" r="C2789">
        <v>28</v>
      </c>
      <c t="s" s="30" r="D2789">
        <v>136</v>
      </c>
      <c t="s" s="30" r="E2789">
        <v>4</v>
      </c>
      <c t="s" s="30" r="F2789">
        <v>4</v>
      </c>
      <c t="s" s="30" r="G2789">
        <v>300</v>
      </c>
      <c t="str" s="12" r="H2789">
        <f>HYPERLINK("http://sofifa.com/en/fifa13winter/player/150518-saul-niguez-esclapez","Saúl")</f>
        <v>Saúl</v>
      </c>
      <c s="30" r="I2789">
        <v>64</v>
      </c>
      <c t="s" s="30" r="J2789">
        <v>124</v>
      </c>
      <c t="s" s="30" r="K2789">
        <v>150</v>
      </c>
      <c t="s" s="30" r="L2789">
        <v>122</v>
      </c>
      <c s="30" r="M2789">
        <v>17</v>
      </c>
      <c s="26" r="N2789">
        <v>1</v>
      </c>
      <c s="23" r="O2789">
        <v>0.003</v>
      </c>
      <c s="7" r="P2789"/>
      <c s="7" r="Q2789"/>
      <c s="7" r="R2789">
        <f>IF((P2789&gt;0),O2789,0)</f>
        <v>0</v>
      </c>
      <c t="str" r="S2789">
        <f>CONCATENATE(F2789,E2789)</f>
        <v>NON FTLNON FTL</v>
      </c>
    </row>
    <row r="2790">
      <c t="s" s="7" r="A2790">
        <v>201</v>
      </c>
      <c s="7" r="B2790">
        <v>2817</v>
      </c>
      <c s="30" r="C2790">
        <v>22</v>
      </c>
      <c t="s" s="30" r="D2790">
        <v>136</v>
      </c>
      <c t="s" s="30" r="E2790">
        <v>4</v>
      </c>
      <c t="s" s="30" r="F2790">
        <v>4</v>
      </c>
      <c t="s" s="30" r="G2790">
        <v>300</v>
      </c>
      <c t="str" s="12" r="H2790">
        <f>HYPERLINK("http://sofifa.com/en/fifa13winter/player/148374-emiliano-insua","E. Insua")</f>
        <v>E. Insua</v>
      </c>
      <c s="30" r="I2790">
        <v>77</v>
      </c>
      <c t="s" s="30" r="J2790">
        <v>117</v>
      </c>
      <c t="s" s="30" r="K2790">
        <v>145</v>
      </c>
      <c t="s" s="30" r="L2790">
        <v>179</v>
      </c>
      <c s="30" r="M2790">
        <v>23</v>
      </c>
      <c s="26" r="N2790">
        <v>5.6</v>
      </c>
      <c s="23" r="O2790">
        <v>0.016</v>
      </c>
      <c s="7" r="P2790"/>
      <c s="7" r="Q2790"/>
      <c s="7" r="R2790">
        <f>IF((P2790&gt;0),O2790,0)</f>
        <v>0</v>
      </c>
      <c t="str" r="S2790">
        <f>CONCATENATE(F2790,E2790)</f>
        <v>NON FTLNON FTL</v>
      </c>
    </row>
    <row r="2791">
      <c t="s" s="7" r="A2791">
        <v>201</v>
      </c>
      <c s="7" r="B2791">
        <v>2818</v>
      </c>
      <c s="30" r="C2791">
        <v>1</v>
      </c>
      <c t="s" s="30" r="D2791">
        <v>136</v>
      </c>
      <c t="s" s="30" r="E2791">
        <v>4</v>
      </c>
      <c t="s" s="30" r="F2791">
        <v>4</v>
      </c>
      <c t="s" s="30" r="G2791">
        <v>300</v>
      </c>
      <c t="str" s="12" r="H2791">
        <f>HYPERLINK("http://sofifa.com/en/fifa13winter/player/148546-sergio-asenjo-andres","Sergio Asenjo")</f>
        <v>Sergio Asenjo</v>
      </c>
      <c s="30" r="I2791">
        <v>74</v>
      </c>
      <c t="s" s="30" r="J2791">
        <v>106</v>
      </c>
      <c t="s" s="30" r="K2791">
        <v>143</v>
      </c>
      <c t="s" s="30" r="L2791">
        <v>156</v>
      </c>
      <c s="30" r="M2791">
        <v>23</v>
      </c>
      <c s="26" r="N2791">
        <v>2.9</v>
      </c>
      <c s="23" r="O2791">
        <v>0.01</v>
      </c>
      <c s="7" r="P2791"/>
      <c s="7" r="Q2791"/>
      <c s="7" r="R2791">
        <f>IF((P2791&gt;0),O2791,0)</f>
        <v>0</v>
      </c>
      <c t="str" r="S2791">
        <f>CONCATENATE(F2791,E2791)</f>
        <v>NON FTLNON FTL</v>
      </c>
    </row>
    <row r="2792">
      <c t="s" s="7" r="A2792">
        <v>201</v>
      </c>
      <c s="7" r="B2792">
        <v>2819</v>
      </c>
      <c s="30" r="C2792">
        <v>8</v>
      </c>
      <c t="s" s="30" r="D2792">
        <v>136</v>
      </c>
      <c t="s" s="30" r="E2792">
        <v>4</v>
      </c>
      <c t="s" s="30" r="F2792">
        <v>4</v>
      </c>
      <c t="s" s="30" r="G2792">
        <v>300</v>
      </c>
      <c t="str" s="12" r="H2792">
        <f>HYPERLINK("http://sofifa.com/en/fifa13winter/player/147463-raul-garcia-escudero","Raúl García")</f>
        <v>Raúl García</v>
      </c>
      <c s="30" r="I2792">
        <v>78</v>
      </c>
      <c t="s" s="30" r="J2792">
        <v>162</v>
      </c>
      <c t="s" s="30" r="K2792">
        <v>110</v>
      </c>
      <c t="s" s="30" r="L2792">
        <v>153</v>
      </c>
      <c s="30" r="M2792">
        <v>26</v>
      </c>
      <c s="26" r="N2792">
        <v>7.3</v>
      </c>
      <c s="23" r="O2792">
        <v>0.019</v>
      </c>
      <c s="7" r="P2792"/>
      <c s="7" r="Q2792"/>
      <c s="7" r="R2792">
        <f>IF((P2792&gt;0),O2792,0)</f>
        <v>0</v>
      </c>
      <c t="str" r="S2792">
        <f>CONCATENATE(F2792,E2792)</f>
        <v>NON FTLNON FTL</v>
      </c>
    </row>
    <row r="2793">
      <c t="s" s="7" r="A2793">
        <v>201</v>
      </c>
      <c s="7" r="B2793">
        <v>2820</v>
      </c>
      <c s="30" r="C2793">
        <v>18</v>
      </c>
      <c t="s" s="30" r="D2793">
        <v>136</v>
      </c>
      <c t="s" s="30" r="E2793">
        <v>4</v>
      </c>
      <c t="s" s="30" r="F2793">
        <v>4</v>
      </c>
      <c t="s" s="30" r="G2793">
        <v>300</v>
      </c>
      <c t="str" s="12" r="H2793">
        <f>HYPERLINK("http://sofifa.com/en/fifa13winter/player/144786-daniel-alberto-diaz","D. Díaz")</f>
        <v>D. Díaz</v>
      </c>
      <c s="30" r="I2793">
        <v>78</v>
      </c>
      <c t="s" s="30" r="J2793">
        <v>113</v>
      </c>
      <c t="s" s="30" r="K2793">
        <v>110</v>
      </c>
      <c t="s" s="30" r="L2793">
        <v>146</v>
      </c>
      <c s="30" r="M2793">
        <v>33</v>
      </c>
      <c s="26" r="N2793">
        <v>4.5</v>
      </c>
      <c s="23" r="O2793">
        <v>0.023</v>
      </c>
      <c s="7" r="P2793"/>
      <c s="7" r="Q2793"/>
      <c s="7" r="R2793">
        <f>IF((P2793&gt;0),O2793,0)</f>
        <v>0</v>
      </c>
      <c t="str" r="S2793">
        <f>CONCATENATE(F2793,E2793)</f>
        <v>NON FTLNON FTL</v>
      </c>
    </row>
    <row r="2794">
      <c t="s" s="7" r="A2794">
        <v>201</v>
      </c>
      <c s="7" r="B2794">
        <v>2821</v>
      </c>
      <c s="30" r="C2794">
        <v>4</v>
      </c>
      <c t="s" s="30" r="D2794">
        <v>136</v>
      </c>
      <c t="s" s="30" r="E2794">
        <v>4</v>
      </c>
      <c t="s" s="30" r="F2794">
        <v>4</v>
      </c>
      <c t="s" s="30" r="G2794">
        <v>300</v>
      </c>
      <c t="str" s="12" r="H2794">
        <f>HYPERLINK("http://sofifa.com/en/fifa13winter/player/147691-mario-suarez-mata","Mario Suárez")</f>
        <v>Mario Suárez</v>
      </c>
      <c s="30" r="I2794">
        <v>78</v>
      </c>
      <c t="s" s="30" r="J2794">
        <v>154</v>
      </c>
      <c t="s" s="30" r="K2794">
        <v>169</v>
      </c>
      <c t="s" s="30" r="L2794">
        <v>193</v>
      </c>
      <c s="30" r="M2794">
        <v>25</v>
      </c>
      <c s="26" r="N2794">
        <v>6.1</v>
      </c>
      <c s="23" r="O2794">
        <v>0.019</v>
      </c>
      <c s="7" r="P2794"/>
      <c s="7" r="Q2794"/>
      <c s="7" r="R2794">
        <f>IF((P2794&gt;0),O2794,0)</f>
        <v>0</v>
      </c>
      <c t="str" r="S2794">
        <f>CONCATENATE(F2794,E2794)</f>
        <v>NON FTLNON FTL</v>
      </c>
    </row>
    <row r="2795">
      <c t="s" s="7" r="A2795">
        <v>201</v>
      </c>
      <c s="7" r="B2795">
        <v>2822</v>
      </c>
      <c s="30" r="C2795">
        <v>15</v>
      </c>
      <c t="s" s="30" r="D2795">
        <v>136</v>
      </c>
      <c t="s" s="30" r="E2795">
        <v>4</v>
      </c>
      <c t="s" s="30" r="F2795">
        <v>4</v>
      </c>
      <c t="s" s="30" r="G2795">
        <v>300</v>
      </c>
      <c t="str" s="12" r="H2795">
        <f>HYPERLINK("http://sofifa.com/en/fifa13winter/player/145850-domingo-cisma-gonzalez","Cisma")</f>
        <v>Cisma</v>
      </c>
      <c s="30" r="I2795">
        <v>70</v>
      </c>
      <c t="s" s="30" r="J2795">
        <v>117</v>
      </c>
      <c t="s" s="30" r="K2795">
        <v>167</v>
      </c>
      <c t="s" s="30" r="L2795">
        <v>161</v>
      </c>
      <c s="30" r="M2795">
        <v>30</v>
      </c>
      <c s="26" r="N2795">
        <v>1.5</v>
      </c>
      <c s="23" r="O2795">
        <v>0.008</v>
      </c>
      <c s="7" r="P2795"/>
      <c s="7" r="Q2795"/>
      <c s="7" r="R2795">
        <f>IF((P2795&gt;0),O2795,0)</f>
        <v>0</v>
      </c>
      <c t="str" r="S2795">
        <f>CONCATENATE(F2795,E2795)</f>
        <v>NON FTLNON FTL</v>
      </c>
    </row>
    <row r="2796">
      <c t="s" s="7" r="A2796">
        <v>201</v>
      </c>
      <c s="7" r="B2796">
        <v>2823</v>
      </c>
      <c s="30" r="C2796">
        <v>11</v>
      </c>
      <c t="s" s="30" r="D2796">
        <v>136</v>
      </c>
      <c t="s" s="30" r="E2796">
        <v>4</v>
      </c>
      <c t="s" s="30" r="F2796">
        <v>4</v>
      </c>
      <c t="s" s="30" r="G2796">
        <v>300</v>
      </c>
      <c t="str" s="12" r="H2796">
        <f>HYPERLINK("http://sofifa.com/en/fifa13winter/player/147179-cristian-rodriguez","C. Rodríguez")</f>
        <v>C. Rodríguez</v>
      </c>
      <c s="30" r="I2796">
        <v>79</v>
      </c>
      <c t="s" s="30" r="J2796">
        <v>128</v>
      </c>
      <c t="s" s="30" r="K2796">
        <v>118</v>
      </c>
      <c t="s" s="30" r="L2796">
        <v>151</v>
      </c>
      <c s="30" r="M2796">
        <v>26</v>
      </c>
      <c s="26" r="N2796">
        <v>7.4</v>
      </c>
      <c s="23" r="O2796">
        <v>0.022</v>
      </c>
      <c s="7" r="P2796"/>
      <c s="7" r="Q2796"/>
      <c s="7" r="R2796">
        <f>IF((P2796&gt;0),O2796,0)</f>
        <v>0</v>
      </c>
      <c t="str" r="S2796">
        <f>CONCATENATE(F2796,E2796)</f>
        <v>NON FTLNON FTL</v>
      </c>
    </row>
    <row r="2797">
      <c t="s" s="7" r="A2797">
        <v>201</v>
      </c>
      <c s="7" r="B2797">
        <v>2824</v>
      </c>
      <c s="30" r="C2797">
        <v>33</v>
      </c>
      <c t="s" s="30" r="D2797">
        <v>147</v>
      </c>
      <c t="s" s="30" r="E2797">
        <v>4</v>
      </c>
      <c t="s" s="30" r="F2797">
        <v>4</v>
      </c>
      <c t="s" s="30" r="G2797">
        <v>300</v>
      </c>
      <c t="str" s="12" r="H2797">
        <f>HYPERLINK("http://sofifa.com/en/fifa13winter/player/149192-yassine-bounou","Y. Bounou")</f>
        <v>Y. Bounou</v>
      </c>
      <c s="30" r="I2797">
        <v>60</v>
      </c>
      <c t="s" s="30" r="J2797">
        <v>106</v>
      </c>
      <c t="s" s="30" r="K2797">
        <v>152</v>
      </c>
      <c t="s" s="30" r="L2797">
        <v>161</v>
      </c>
      <c s="30" r="M2797">
        <v>21</v>
      </c>
      <c s="26" r="N2797">
        <v>0.4</v>
      </c>
      <c s="23" r="O2797">
        <v>0.003</v>
      </c>
      <c s="7" r="P2797"/>
      <c s="7" r="Q2797"/>
      <c s="7" r="R2797">
        <f>IF((P2797&gt;0),O2797,0)</f>
        <v>0</v>
      </c>
      <c t="str" r="S2797">
        <f>CONCATENATE(F2797,E2797)</f>
        <v>NON FTLNON FTL</v>
      </c>
    </row>
    <row r="2798">
      <c t="s" s="7" r="A2798">
        <v>201</v>
      </c>
      <c s="7" r="B2798">
        <v>2825</v>
      </c>
      <c s="30" r="C2798">
        <v>43</v>
      </c>
      <c t="s" s="30" r="D2798">
        <v>147</v>
      </c>
      <c t="s" s="30" r="E2798">
        <v>4</v>
      </c>
      <c t="s" s="30" r="F2798">
        <v>4</v>
      </c>
      <c t="s" s="30" r="G2798">
        <v>300</v>
      </c>
      <c t="str" s="12" r="H2798">
        <f>HYPERLINK("http://sofifa.com/en/fifa13winter/player/149992-thomas-teye-partey","Thomas")</f>
        <v>Thomas</v>
      </c>
      <c s="30" r="I2798">
        <v>62</v>
      </c>
      <c t="s" s="30" r="J2798">
        <v>154</v>
      </c>
      <c t="s" s="30" r="K2798">
        <v>143</v>
      </c>
      <c t="s" s="30" r="L2798">
        <v>161</v>
      </c>
      <c s="30" r="M2798">
        <v>19</v>
      </c>
      <c s="26" r="N2798">
        <v>0.7</v>
      </c>
      <c s="23" r="O2798">
        <v>0.003</v>
      </c>
      <c s="7" r="P2798"/>
      <c s="7" r="Q2798"/>
      <c s="7" r="R2798">
        <f>IF((P2798&gt;0),O2798,0)</f>
        <v>0</v>
      </c>
      <c t="str" r="S2798">
        <f>CONCATENATE(F2798,E2798)</f>
        <v>NON FTLNON FTL</v>
      </c>
    </row>
    <row r="2799">
      <c t="s" s="7" r="A2799">
        <v>201</v>
      </c>
      <c s="7" r="B2799">
        <v>2826</v>
      </c>
      <c s="30" r="C2799">
        <v>41</v>
      </c>
      <c t="s" s="30" r="D2799">
        <v>147</v>
      </c>
      <c t="s" s="30" r="E2799">
        <v>4</v>
      </c>
      <c t="s" s="30" r="F2799">
        <v>4</v>
      </c>
      <c t="s" s="30" r="G2799">
        <v>300</v>
      </c>
      <c t="str" s="12" r="H2799">
        <f>HYPERLINK("http://sofifa.com/en/fifa13winter/player/149302-pere-martinez-sastre","Pere")</f>
        <v>Pere</v>
      </c>
      <c s="30" r="I2799">
        <v>61</v>
      </c>
      <c t="s" s="30" r="J2799">
        <v>109</v>
      </c>
      <c t="s" s="30" r="K2799">
        <v>118</v>
      </c>
      <c t="s" s="30" r="L2799">
        <v>146</v>
      </c>
      <c s="30" r="M2799">
        <v>21</v>
      </c>
      <c s="26" r="N2799">
        <v>0.6</v>
      </c>
      <c s="23" r="O2799">
        <v>0.003</v>
      </c>
      <c s="7" r="P2799"/>
      <c s="7" r="Q2799"/>
      <c s="7" r="R2799">
        <f>IF((P2799&gt;0),O2799,0)</f>
        <v>0</v>
      </c>
      <c t="str" r="S2799">
        <f>CONCATENATE(F2799,E2799)</f>
        <v>NON FTLNON FTL</v>
      </c>
    </row>
    <row r="2800">
      <c t="s" s="7" r="A2800">
        <v>201</v>
      </c>
      <c s="7" r="B2800">
        <v>2827</v>
      </c>
      <c s="30" r="C2800">
        <v>34</v>
      </c>
      <c t="s" s="30" r="D2800">
        <v>147</v>
      </c>
      <c t="s" s="30" r="E2800">
        <v>4</v>
      </c>
      <c t="s" s="30" r="F2800">
        <v>4</v>
      </c>
      <c t="s" s="30" r="G2800">
        <v>300</v>
      </c>
      <c t="str" s="12" r="H2800">
        <f>HYPERLINK("http://sofifa.com/en/fifa13winter/player/149665-victor-mongil-adeva","Mongil")</f>
        <v>Mongil</v>
      </c>
      <c s="30" r="I2800">
        <v>65</v>
      </c>
      <c t="s" s="30" r="J2800">
        <v>113</v>
      </c>
      <c t="s" s="30" r="K2800">
        <v>114</v>
      </c>
      <c t="s" s="30" r="L2800">
        <v>137</v>
      </c>
      <c s="30" r="M2800">
        <v>20</v>
      </c>
      <c s="26" r="N2800">
        <v>1.1</v>
      </c>
      <c s="23" r="O2800">
        <v>0.004</v>
      </c>
      <c s="7" r="P2800"/>
      <c s="7" r="Q2800"/>
      <c s="7" r="R2800">
        <f>IF((P2800&gt;0),O2800,0)</f>
        <v>0</v>
      </c>
      <c t="str" r="S2800">
        <f>CONCATENATE(F2800,E2800)</f>
        <v>NON FTLNON FTL</v>
      </c>
    </row>
    <row r="2801">
      <c t="s" s="7" r="A2801">
        <v>201</v>
      </c>
      <c s="7" r="B2801">
        <v>2828</v>
      </c>
      <c s="30" r="C2801">
        <v>38</v>
      </c>
      <c t="s" s="30" r="D2801">
        <v>147</v>
      </c>
      <c t="s" s="30" r="E2801">
        <v>4</v>
      </c>
      <c t="s" s="30" r="F2801">
        <v>4</v>
      </c>
      <c t="s" s="30" r="G2801">
        <v>300</v>
      </c>
      <c t="str" s="12" r="H2801">
        <f>HYPERLINK("http://sofifa.com/en/fifa13winter/player/149729-ivan-sanchez-aguayo","Iván Sánchez")</f>
        <v>Iván Sánchez</v>
      </c>
      <c s="30" r="I2801">
        <v>63</v>
      </c>
      <c t="s" s="30" r="J2801">
        <v>157</v>
      </c>
      <c t="s" s="30" r="K2801">
        <v>182</v>
      </c>
      <c t="s" s="30" r="L2801">
        <v>141</v>
      </c>
      <c s="30" r="M2801">
        <v>19</v>
      </c>
      <c s="26" r="N2801">
        <v>1</v>
      </c>
      <c s="23" r="O2801">
        <v>0.003</v>
      </c>
      <c s="7" r="P2801"/>
      <c s="7" r="Q2801"/>
      <c s="7" r="R2801">
        <f>IF((P2801&gt;0),O2801,0)</f>
        <v>0</v>
      </c>
      <c t="str" r="S2801">
        <f>CONCATENATE(F2801,E2801)</f>
        <v>NON FTLNON FTL</v>
      </c>
    </row>
    <row r="2802">
      <c t="s" s="7" r="A2802">
        <v>201</v>
      </c>
      <c s="7" r="B2802">
        <v>2829</v>
      </c>
      <c s="30" r="C2802">
        <v>37</v>
      </c>
      <c t="s" s="30" r="D2802">
        <v>147</v>
      </c>
      <c t="s" s="30" r="E2802">
        <v>4</v>
      </c>
      <c t="s" s="30" r="F2802">
        <v>4</v>
      </c>
      <c t="s" s="30" r="G2802">
        <v>300</v>
      </c>
      <c t="str" s="12" r="H2802">
        <f>HYPERLINK("http://sofifa.com/en/fifa13winter/player/148764-omar-santana-cabrera","Omar Santana")</f>
        <v>Omar Santana</v>
      </c>
      <c s="30" r="I2802">
        <v>62</v>
      </c>
      <c t="s" s="30" r="J2802">
        <v>162</v>
      </c>
      <c t="s" s="30" r="K2802">
        <v>182</v>
      </c>
      <c t="s" s="30" r="L2802">
        <v>149</v>
      </c>
      <c s="30" r="M2802">
        <v>22</v>
      </c>
      <c s="26" r="N2802">
        <v>0.8</v>
      </c>
      <c s="23" r="O2802">
        <v>0.003</v>
      </c>
      <c s="7" r="P2802"/>
      <c s="7" r="Q2802"/>
      <c s="7" r="R2802">
        <f>IF((P2802&gt;0),O2802,0)</f>
        <v>0</v>
      </c>
      <c t="str" r="S2802">
        <f>CONCATENATE(F2802,E2802)</f>
        <v>NON FTLNON FTL</v>
      </c>
    </row>
    <row r="2803">
      <c t="s" s="7" r="A2803">
        <v>201</v>
      </c>
      <c s="7" r="B2803">
        <v>2830</v>
      </c>
      <c s="30" r="C2803">
        <v>40</v>
      </c>
      <c t="s" s="30" r="D2803">
        <v>147</v>
      </c>
      <c t="s" s="30" r="E2803">
        <v>4</v>
      </c>
      <c t="s" s="30" r="F2803">
        <v>4</v>
      </c>
      <c t="s" s="30" r="G2803">
        <v>300</v>
      </c>
      <c t="str" s="12" r="H2803">
        <f>HYPERLINK("http://sofifa.com/en/fifa13winter/player/149532-momar-ndoye","M. N'Doye")</f>
        <v>M. N'Doye</v>
      </c>
      <c s="30" r="I2803">
        <v>60</v>
      </c>
      <c t="s" s="30" r="J2803">
        <v>171</v>
      </c>
      <c t="s" s="30" r="K2803">
        <v>118</v>
      </c>
      <c t="s" s="30" r="L2803">
        <v>115</v>
      </c>
      <c s="30" r="M2803">
        <v>20</v>
      </c>
      <c s="26" r="N2803">
        <v>0.7</v>
      </c>
      <c s="23" r="O2803">
        <v>0.003</v>
      </c>
      <c s="7" r="P2803"/>
      <c s="7" r="Q2803"/>
      <c s="7" r="R2803">
        <f>IF((P2803&gt;0),O2803,0)</f>
        <v>0</v>
      </c>
      <c t="str" r="S2803">
        <f>CONCATENATE(F2803,E2803)</f>
        <v>NON FTLNON FTL</v>
      </c>
    </row>
    <row r="2804">
      <c t="s" s="7" r="A2804">
        <v>201</v>
      </c>
      <c s="7" r="B2804">
        <v>2831</v>
      </c>
      <c s="30" r="C2804">
        <v>39</v>
      </c>
      <c t="s" s="30" r="D2804">
        <v>147</v>
      </c>
      <c t="s" s="30" r="E2804">
        <v>4</v>
      </c>
      <c t="s" s="30" r="F2804">
        <v>4</v>
      </c>
      <c t="s" s="30" r="G2804">
        <v>300</v>
      </c>
      <c t="str" s="12" r="H2804">
        <f>HYPERLINK("http://sofifa.com/en/fifa13winter/player/148647-gerard-oliva-gorgori","Gerard Oliva")</f>
        <v>Gerard Oliva</v>
      </c>
      <c s="30" r="I2804">
        <v>60</v>
      </c>
      <c t="s" s="30" r="J2804">
        <v>129</v>
      </c>
      <c t="s" s="30" r="K2804">
        <v>169</v>
      </c>
      <c t="s" s="30" r="L2804">
        <v>183</v>
      </c>
      <c s="30" r="M2804">
        <v>22</v>
      </c>
      <c s="26" r="N2804">
        <v>0.6</v>
      </c>
      <c s="23" r="O2804">
        <v>0.003</v>
      </c>
      <c s="7" r="P2804"/>
      <c s="7" r="Q2804"/>
      <c s="7" r="R2804">
        <f>IF((P2804&gt;0),O2804,0)</f>
        <v>0</v>
      </c>
      <c t="str" r="S2804">
        <f>CONCATENATE(F2804,E2804)</f>
        <v>NON FTLNON FTL</v>
      </c>
    </row>
    <row r="2805">
      <c t="s" s="7" r="A2805">
        <v>201</v>
      </c>
      <c s="7" r="B2805">
        <v>2832</v>
      </c>
      <c s="30" r="C2805">
        <v>35</v>
      </c>
      <c t="s" s="30" r="D2805">
        <v>147</v>
      </c>
      <c t="s" s="30" r="E2805">
        <v>4</v>
      </c>
      <c t="s" s="30" r="F2805">
        <v>4</v>
      </c>
      <c t="s" s="30" r="G2805">
        <v>300</v>
      </c>
      <c t="str" s="12" r="H2805">
        <f>HYPERLINK("http://sofifa.com/en/fifa13winter/player/149460-cenk-guvenc","C. Güvenç")</f>
        <v>C. Güvenç</v>
      </c>
      <c s="30" r="I2805">
        <v>63</v>
      </c>
      <c t="s" s="30" r="J2805">
        <v>113</v>
      </c>
      <c t="s" s="30" r="K2805">
        <v>155</v>
      </c>
      <c t="s" s="30" r="L2805">
        <v>160</v>
      </c>
      <c s="30" r="M2805">
        <v>20</v>
      </c>
      <c s="26" r="N2805">
        <v>0.9</v>
      </c>
      <c s="23" r="O2805">
        <v>0.003</v>
      </c>
      <c s="7" r="P2805"/>
      <c s="7" r="Q2805"/>
      <c s="7" r="R2805">
        <f>IF((P2805&gt;0),O2805,0)</f>
        <v>0</v>
      </c>
      <c t="str" r="S2805">
        <f>CONCATENATE(F2805,E2805)</f>
        <v>NON FTLNON FTL</v>
      </c>
    </row>
    <row r="2806">
      <c t="s" s="7" r="A2806">
        <v>201</v>
      </c>
      <c s="7" r="B2806">
        <v>2833</v>
      </c>
      <c s="30" r="C2806">
        <v>36</v>
      </c>
      <c t="s" s="30" r="D2806">
        <v>147</v>
      </c>
      <c t="s" s="30" r="E2806">
        <v>4</v>
      </c>
      <c t="s" s="30" r="F2806">
        <v>4</v>
      </c>
      <c t="s" s="30" r="G2806">
        <v>300</v>
      </c>
      <c t="str" s="12" r="H2806">
        <f>HYPERLINK("http://sofifa.com/en/fifa13winter/player/148940-daniel-aquino-pintos","Aquino")</f>
        <v>Aquino</v>
      </c>
      <c s="30" r="I2806">
        <v>65</v>
      </c>
      <c t="s" s="30" r="J2806">
        <v>128</v>
      </c>
      <c t="s" s="30" r="K2806">
        <v>118</v>
      </c>
      <c t="s" s="30" r="L2806">
        <v>111</v>
      </c>
      <c s="30" r="M2806">
        <v>22</v>
      </c>
      <c s="26" r="N2806">
        <v>1.1</v>
      </c>
      <c s="23" r="O2806">
        <v>0.004</v>
      </c>
      <c s="7" r="P2806"/>
      <c s="7" r="Q2806"/>
      <c s="7" r="R2806">
        <f>IF((P2806&gt;0),O2806,0)</f>
        <v>0</v>
      </c>
      <c t="str" r="S2806">
        <f>CONCATENATE(F2806,E2806)</f>
        <v>NON FTLNON FTL</v>
      </c>
    </row>
    <row r="2807">
      <c t="s" s="7" r="A2807">
        <v>201</v>
      </c>
      <c s="7" r="B2807">
        <v>2834</v>
      </c>
      <c s="30" r="C2807">
        <v>34</v>
      </c>
      <c t="s" s="30" r="D2807">
        <v>106</v>
      </c>
      <c t="s" s="30" r="E2807">
        <v>4</v>
      </c>
      <c t="s" s="30" r="F2807">
        <v>4</v>
      </c>
      <c t="s" s="30" r="G2807">
        <v>301</v>
      </c>
      <c t="s" s="12" r="H2807">
        <v>302</v>
      </c>
      <c s="30" r="I2807">
        <v>75</v>
      </c>
      <c t="s" s="30" r="J2807">
        <v>106</v>
      </c>
      <c t="s" s="30" r="K2807">
        <v>173</v>
      </c>
      <c t="s" s="30" r="L2807">
        <v>153</v>
      </c>
      <c s="30" r="M2807">
        <v>33</v>
      </c>
      <c s="26" r="N2807">
        <v>2.4</v>
      </c>
      <c s="23" r="O2807">
        <v>0.016</v>
      </c>
      <c s="7" r="P2807"/>
      <c s="7" r="Q2807"/>
      <c s="7" r="R2807"/>
    </row>
    <row r="2808">
      <c t="s" s="7" r="A2808">
        <v>201</v>
      </c>
      <c s="7" r="B2808">
        <v>2835</v>
      </c>
      <c s="30" r="C2808">
        <v>22</v>
      </c>
      <c t="s" s="30" r="D2808">
        <v>109</v>
      </c>
      <c t="s" s="30" r="E2808">
        <v>4</v>
      </c>
      <c t="s" s="30" r="F2808">
        <v>4</v>
      </c>
      <c t="s" s="30" r="G2808">
        <v>301</v>
      </c>
      <c t="s" s="12" r="H2808">
        <v>303</v>
      </c>
      <c s="30" r="I2808">
        <v>74</v>
      </c>
      <c t="s" s="30" r="J2808">
        <v>109</v>
      </c>
      <c t="s" s="30" r="K2808">
        <v>172</v>
      </c>
      <c t="s" s="30" r="L2808">
        <v>164</v>
      </c>
      <c s="30" r="M2808">
        <v>24</v>
      </c>
      <c s="26" r="N2808">
        <v>3.2</v>
      </c>
      <c s="23" r="O2808">
        <v>0.011</v>
      </c>
      <c s="7" r="P2808"/>
      <c s="7" r="Q2808"/>
      <c s="7" r="R2808"/>
    </row>
    <row r="2809">
      <c t="s" s="7" r="A2809">
        <v>201</v>
      </c>
      <c s="7" r="B2809">
        <v>2836</v>
      </c>
      <c s="30" r="C2809">
        <v>4</v>
      </c>
      <c t="s" s="30" r="D2809">
        <v>112</v>
      </c>
      <c t="s" s="30" r="E2809">
        <v>4</v>
      </c>
      <c t="s" s="30" r="F2809">
        <v>4</v>
      </c>
      <c t="s" s="30" r="G2809">
        <v>301</v>
      </c>
      <c t="s" s="12" r="H2809">
        <v>304</v>
      </c>
      <c s="30" r="I2809">
        <v>82</v>
      </c>
      <c t="s" s="30" r="J2809">
        <v>113</v>
      </c>
      <c t="s" s="30" r="K2809">
        <v>155</v>
      </c>
      <c t="s" s="30" r="L2809">
        <v>153</v>
      </c>
      <c s="30" r="M2809">
        <v>24</v>
      </c>
      <c s="26" r="N2809">
        <v>13.6</v>
      </c>
      <c s="23" r="O2809">
        <v>0.053</v>
      </c>
      <c s="7" r="P2809"/>
      <c s="7" r="Q2809"/>
      <c s="7" r="R2809"/>
    </row>
    <row r="2810">
      <c t="s" s="7" r="A2810">
        <v>201</v>
      </c>
      <c s="7" r="B2810">
        <v>2837</v>
      </c>
      <c s="30" r="C2810">
        <v>32</v>
      </c>
      <c t="s" s="30" r="D2810">
        <v>116</v>
      </c>
      <c t="s" s="30" r="E2810">
        <v>4</v>
      </c>
      <c t="s" s="30" r="F2810">
        <v>4</v>
      </c>
      <c t="s" s="30" r="G2810">
        <v>301</v>
      </c>
      <c t="s" s="12" r="H2810">
        <v>305</v>
      </c>
      <c s="30" r="I2810">
        <v>76</v>
      </c>
      <c t="s" s="30" r="J2810">
        <v>113</v>
      </c>
      <c t="s" s="30" r="K2810">
        <v>107</v>
      </c>
      <c t="s" s="30" r="L2810">
        <v>191</v>
      </c>
      <c s="30" r="M2810">
        <v>21</v>
      </c>
      <c s="26" r="N2810">
        <v>5.3</v>
      </c>
      <c s="23" r="O2810">
        <v>0.013</v>
      </c>
      <c s="7" r="P2810"/>
      <c s="7" r="Q2810"/>
      <c s="7" r="R2810"/>
    </row>
    <row r="2811">
      <c t="s" s="7" r="A2811">
        <v>201</v>
      </c>
      <c s="7" r="B2811">
        <v>2838</v>
      </c>
      <c s="30" r="C2811">
        <v>35</v>
      </c>
      <c t="s" s="30" r="D2811">
        <v>117</v>
      </c>
      <c t="s" s="30" r="E2811">
        <v>4</v>
      </c>
      <c t="s" s="30" r="F2811">
        <v>4</v>
      </c>
      <c t="s" s="30" r="G2811">
        <v>301</v>
      </c>
      <c t="s" s="12" r="H2811">
        <v>306</v>
      </c>
      <c s="30" r="I2811">
        <v>68</v>
      </c>
      <c t="s" s="30" r="J2811">
        <v>117</v>
      </c>
      <c t="s" s="30" r="K2811">
        <v>110</v>
      </c>
      <c t="s" s="30" r="L2811">
        <v>193</v>
      </c>
      <c s="30" r="M2811">
        <v>19</v>
      </c>
      <c s="26" r="N2811">
        <v>1.7</v>
      </c>
      <c s="23" r="O2811">
        <v>0.005</v>
      </c>
      <c s="7" r="P2811"/>
      <c s="7" r="Q2811"/>
      <c s="7" r="R2811"/>
    </row>
    <row r="2812">
      <c t="s" s="7" r="A2812">
        <v>201</v>
      </c>
      <c s="7" r="B2812">
        <v>2839</v>
      </c>
      <c s="30" r="C2812">
        <v>13</v>
      </c>
      <c t="s" s="30" r="D2812">
        <v>186</v>
      </c>
      <c t="s" s="30" r="E2812">
        <v>4</v>
      </c>
      <c t="s" s="30" r="F2812">
        <v>4</v>
      </c>
      <c t="s" s="30" r="G2812">
        <v>301</v>
      </c>
      <c t="s" s="12" r="H2812">
        <v>307</v>
      </c>
      <c s="30" r="I2812">
        <v>77</v>
      </c>
      <c t="s" s="30" r="J2812">
        <v>154</v>
      </c>
      <c t="s" s="30" r="K2812">
        <v>167</v>
      </c>
      <c t="s" s="30" r="L2812">
        <v>183</v>
      </c>
      <c s="30" r="M2812">
        <v>30</v>
      </c>
      <c s="26" r="N2812">
        <v>4.5</v>
      </c>
      <c s="23" r="O2812">
        <v>0.019</v>
      </c>
      <c s="7" r="P2812"/>
      <c s="7" r="Q2812"/>
      <c s="7" r="R2812"/>
    </row>
    <row r="2813">
      <c t="s" s="7" r="A2813">
        <v>201</v>
      </c>
      <c s="7" r="B2813">
        <v>2840</v>
      </c>
      <c s="30" r="C2813">
        <v>33</v>
      </c>
      <c t="s" s="30" r="D2813">
        <v>174</v>
      </c>
      <c t="s" s="30" r="E2813">
        <v>4</v>
      </c>
      <c t="s" s="30" r="F2813">
        <v>4</v>
      </c>
      <c t="s" s="30" r="G2813">
        <v>301</v>
      </c>
      <c t="s" s="12" r="H2813">
        <v>308</v>
      </c>
      <c s="30" r="I2813">
        <v>76</v>
      </c>
      <c t="s" s="30" r="J2813">
        <v>154</v>
      </c>
      <c t="s" s="30" r="K2813">
        <v>152</v>
      </c>
      <c t="s" s="30" r="L2813">
        <v>108</v>
      </c>
      <c s="30" r="M2813">
        <v>24</v>
      </c>
      <c s="26" r="N2813">
        <v>4.7</v>
      </c>
      <c s="23" r="O2813">
        <v>0.015</v>
      </c>
      <c s="7" r="P2813"/>
      <c s="7" r="Q2813"/>
      <c s="7" r="R2813"/>
    </row>
    <row r="2814">
      <c t="s" s="7" r="A2814">
        <v>201</v>
      </c>
      <c s="7" r="B2814">
        <v>2841</v>
      </c>
      <c s="30" r="C2814">
        <v>17</v>
      </c>
      <c t="s" s="30" r="D2814">
        <v>120</v>
      </c>
      <c t="s" s="30" r="E2814">
        <v>4</v>
      </c>
      <c t="s" s="30" r="F2814">
        <v>4</v>
      </c>
      <c t="s" s="30" r="G2814">
        <v>301</v>
      </c>
      <c t="s" s="12" r="H2814">
        <v>309</v>
      </c>
      <c s="30" r="I2814">
        <v>84</v>
      </c>
      <c t="s" s="30" r="J2814">
        <v>120</v>
      </c>
      <c t="s" s="30" r="K2814">
        <v>118</v>
      </c>
      <c t="s" s="30" r="L2814">
        <v>156</v>
      </c>
      <c s="30" r="M2814">
        <v>27</v>
      </c>
      <c s="26" r="N2814">
        <v>18.9</v>
      </c>
      <c s="23" r="O2814">
        <v>0.083</v>
      </c>
      <c s="7" r="P2814"/>
      <c s="7" r="Q2814"/>
      <c s="7" r="R2814"/>
    </row>
    <row r="2815">
      <c t="s" s="7" r="A2815">
        <v>201</v>
      </c>
      <c s="7" r="B2815">
        <v>2842</v>
      </c>
      <c s="30" r="C2815">
        <v>9</v>
      </c>
      <c t="s" s="30" r="D2815">
        <v>128</v>
      </c>
      <c t="s" s="30" r="E2815">
        <v>4</v>
      </c>
      <c t="s" s="30" r="F2815">
        <v>4</v>
      </c>
      <c t="s" s="30" r="G2815">
        <v>301</v>
      </c>
      <c t="s" s="12" r="H2815">
        <v>310</v>
      </c>
      <c s="30" r="I2815">
        <v>81</v>
      </c>
      <c t="s" s="30" r="J2815">
        <v>128</v>
      </c>
      <c t="s" s="30" r="K2815">
        <v>145</v>
      </c>
      <c t="s" s="30" r="L2815">
        <v>142</v>
      </c>
      <c s="30" r="M2815">
        <v>29</v>
      </c>
      <c s="26" r="N2815">
        <v>11.6</v>
      </c>
      <c s="23" r="O2815">
        <v>0.043</v>
      </c>
      <c s="7" r="P2815"/>
      <c s="7" r="Q2815"/>
      <c s="7" r="R2815"/>
    </row>
    <row r="2816">
      <c t="s" s="7" r="A2816">
        <v>201</v>
      </c>
      <c s="7" r="B2816">
        <v>2843</v>
      </c>
      <c s="30" r="C2816">
        <v>31</v>
      </c>
      <c t="s" s="30" r="D2816">
        <v>162</v>
      </c>
      <c t="s" s="30" r="E2816">
        <v>4</v>
      </c>
      <c t="s" s="30" r="F2816">
        <v>4</v>
      </c>
      <c t="s" s="30" r="G2816">
        <v>301</v>
      </c>
      <c t="s" s="12" r="H2816">
        <v>311</v>
      </c>
      <c s="30" r="I2816">
        <v>78</v>
      </c>
      <c t="s" s="30" r="J2816">
        <v>128</v>
      </c>
      <c t="s" s="30" r="K2816">
        <v>132</v>
      </c>
      <c t="s" s="30" r="L2816">
        <v>122</v>
      </c>
      <c s="30" r="M2816">
        <v>18</v>
      </c>
      <c s="26" r="N2816">
        <v>7.9</v>
      </c>
      <c s="23" r="O2816">
        <v>0.014</v>
      </c>
      <c s="7" r="P2816"/>
      <c s="7" r="Q2816"/>
      <c s="7" r="R2816"/>
    </row>
    <row r="2817">
      <c t="s" s="7" r="A2817">
        <v>201</v>
      </c>
      <c s="7" r="B2817">
        <v>2844</v>
      </c>
      <c s="30" r="C2817">
        <v>25</v>
      </c>
      <c t="s" s="30" r="D2817">
        <v>129</v>
      </c>
      <c t="s" s="30" r="E2817">
        <v>4</v>
      </c>
      <c t="s" s="30" r="F2817">
        <v>4</v>
      </c>
      <c t="s" s="30" r="G2817">
        <v>301</v>
      </c>
      <c t="s" s="12" r="H2817">
        <v>312</v>
      </c>
      <c s="30" r="I2817">
        <v>83</v>
      </c>
      <c t="s" s="30" r="J2817">
        <v>129</v>
      </c>
      <c t="s" s="30" r="K2817">
        <v>173</v>
      </c>
      <c t="s" s="30" r="L2817">
        <v>161</v>
      </c>
      <c s="30" r="M2817">
        <v>29</v>
      </c>
      <c s="26" r="N2817">
        <v>17.7</v>
      </c>
      <c s="23" r="O2817">
        <v>0.074</v>
      </c>
      <c s="7" r="P2817"/>
      <c s="7" r="Q2817"/>
      <c s="7" r="R2817"/>
    </row>
    <row r="2818">
      <c t="s" s="7" r="A2818">
        <v>201</v>
      </c>
      <c s="7" r="B2818">
        <v>2845</v>
      </c>
      <c s="30" r="C2818">
        <v>12</v>
      </c>
      <c t="s" s="30" r="D2818">
        <v>136</v>
      </c>
      <c t="s" s="30" r="E2818">
        <v>4</v>
      </c>
      <c t="s" s="30" r="F2818">
        <v>4</v>
      </c>
      <c t="s" s="30" r="G2818">
        <v>301</v>
      </c>
      <c t="s" s="12" r="H2818">
        <v>313</v>
      </c>
      <c s="30" r="I2818">
        <v>76</v>
      </c>
      <c t="s" s="30" r="J2818">
        <v>154</v>
      </c>
      <c t="s" s="30" r="K2818">
        <v>173</v>
      </c>
      <c t="s" s="30" r="L2818">
        <v>161</v>
      </c>
      <c s="30" r="M2818">
        <v>22</v>
      </c>
      <c s="26" r="N2818">
        <v>5.3</v>
      </c>
      <c s="23" r="O2818">
        <v>0.014</v>
      </c>
      <c s="7" r="P2818"/>
      <c s="7" r="Q2818"/>
      <c s="7" r="R2818"/>
    </row>
    <row r="2819">
      <c t="s" s="7" r="A2819">
        <v>201</v>
      </c>
      <c s="7" r="B2819">
        <v>2846</v>
      </c>
      <c s="30" r="C2819">
        <v>29</v>
      </c>
      <c t="s" s="30" r="D2819">
        <v>136</v>
      </c>
      <c t="s" s="30" r="E2819">
        <v>4</v>
      </c>
      <c t="s" s="30" r="F2819">
        <v>4</v>
      </c>
      <c t="s" s="30" r="G2819">
        <v>301</v>
      </c>
      <c t="s" s="12" r="H2819">
        <v>314</v>
      </c>
      <c s="30" r="I2819">
        <v>63</v>
      </c>
      <c t="s" s="30" r="J2819">
        <v>162</v>
      </c>
      <c t="s" s="30" r="K2819">
        <v>205</v>
      </c>
      <c t="s" s="30" r="L2819">
        <v>149</v>
      </c>
      <c s="30" r="M2819">
        <v>16</v>
      </c>
      <c s="26" r="N2819">
        <v>1.1</v>
      </c>
      <c s="23" r="O2819">
        <v>0.003</v>
      </c>
      <c s="7" r="P2819"/>
      <c s="7" r="Q2819"/>
      <c s="7" r="R2819"/>
    </row>
    <row r="2820">
      <c t="s" s="7" r="A2820">
        <v>201</v>
      </c>
      <c s="7" r="B2820">
        <v>2847</v>
      </c>
      <c s="30" r="C2820">
        <v>20</v>
      </c>
      <c t="s" s="30" r="D2820">
        <v>136</v>
      </c>
      <c t="s" s="30" r="E2820">
        <v>4</v>
      </c>
      <c t="s" s="30" r="F2820">
        <v>4</v>
      </c>
      <c t="s" s="30" r="G2820">
        <v>301</v>
      </c>
      <c t="s" s="12" r="H2820">
        <v>315</v>
      </c>
      <c s="30" r="I2820">
        <v>72</v>
      </c>
      <c t="s" s="30" r="J2820">
        <v>129</v>
      </c>
      <c t="s" s="30" r="K2820">
        <v>114</v>
      </c>
      <c t="s" s="30" r="L2820">
        <v>161</v>
      </c>
      <c s="30" r="M2820">
        <v>22</v>
      </c>
      <c s="26" r="N2820">
        <v>3.3</v>
      </c>
      <c s="23" r="O2820">
        <v>0.008</v>
      </c>
      <c s="7" r="P2820"/>
      <c s="7" r="Q2820"/>
      <c s="7" r="R2820"/>
    </row>
    <row r="2821">
      <c t="s" s="7" r="A2821">
        <v>201</v>
      </c>
      <c s="7" r="B2821">
        <v>2848</v>
      </c>
      <c s="30" r="C2821">
        <v>14</v>
      </c>
      <c t="s" s="30" r="D2821">
        <v>136</v>
      </c>
      <c t="s" s="30" r="E2821">
        <v>4</v>
      </c>
      <c t="s" s="30" r="F2821">
        <v>4</v>
      </c>
      <c t="s" s="30" r="G2821">
        <v>301</v>
      </c>
      <c t="s" s="12" r="H2821">
        <v>316</v>
      </c>
      <c s="30" r="I2821">
        <v>78</v>
      </c>
      <c t="s" s="30" r="J2821">
        <v>113</v>
      </c>
      <c t="s" s="30" r="K2821">
        <v>110</v>
      </c>
      <c t="s" s="30" r="L2821">
        <v>179</v>
      </c>
      <c s="30" r="M2821">
        <v>20</v>
      </c>
      <c s="26" r="N2821">
        <v>7.8</v>
      </c>
      <c s="23" r="O2821">
        <v>0.016</v>
      </c>
      <c s="7" r="P2821"/>
      <c s="7" r="Q2821"/>
      <c s="7" r="R2821"/>
    </row>
    <row r="2822">
      <c t="s" s="7" r="A2822">
        <v>201</v>
      </c>
      <c s="7" r="B2822">
        <v>2849</v>
      </c>
      <c s="30" r="C2822">
        <v>1</v>
      </c>
      <c t="s" s="30" r="D2822">
        <v>136</v>
      </c>
      <c t="s" s="30" r="E2822">
        <v>4</v>
      </c>
      <c t="s" s="30" r="F2822">
        <v>4</v>
      </c>
      <c t="s" s="30" r="G2822">
        <v>301</v>
      </c>
      <c t="s" s="12" r="H2822">
        <v>317</v>
      </c>
      <c s="30" r="I2822">
        <v>73</v>
      </c>
      <c t="s" s="30" r="J2822">
        <v>106</v>
      </c>
      <c t="s" s="30" r="K2822">
        <v>198</v>
      </c>
      <c t="s" s="30" r="L2822">
        <v>184</v>
      </c>
      <c s="30" r="M2822">
        <v>23</v>
      </c>
      <c s="26" r="N2822">
        <v>2.6</v>
      </c>
      <c s="23" r="O2822">
        <v>0.009</v>
      </c>
      <c s="7" r="P2822"/>
      <c s="7" r="Q2822"/>
      <c s="7" r="R2822"/>
    </row>
    <row r="2823">
      <c t="s" s="7" r="A2823">
        <v>201</v>
      </c>
      <c s="7" r="B2823">
        <v>2850</v>
      </c>
      <c s="30" r="C2823">
        <v>27</v>
      </c>
      <c t="s" s="30" r="D2823">
        <v>136</v>
      </c>
      <c t="s" s="30" r="E2823">
        <v>4</v>
      </c>
      <c t="s" s="30" r="F2823">
        <v>4</v>
      </c>
      <c t="s" s="30" r="G2823">
        <v>301</v>
      </c>
      <c t="s" s="12" r="H2823">
        <v>318</v>
      </c>
      <c s="30" r="I2823">
        <v>76</v>
      </c>
      <c t="s" s="30" r="J2823">
        <v>128</v>
      </c>
      <c t="s" s="30" r="K2823">
        <v>118</v>
      </c>
      <c t="s" s="30" r="L2823">
        <v>115</v>
      </c>
      <c s="30" r="M2823">
        <v>27</v>
      </c>
      <c s="26" r="N2823">
        <v>5</v>
      </c>
      <c s="23" r="O2823">
        <v>0.015</v>
      </c>
      <c s="7" r="P2823"/>
      <c s="7" r="Q2823"/>
      <c s="7" r="R2823"/>
    </row>
    <row r="2824">
      <c t="s" s="7" r="A2824">
        <v>201</v>
      </c>
      <c s="7" r="B2824">
        <v>2851</v>
      </c>
      <c s="30" r="C2824">
        <v>18</v>
      </c>
      <c t="s" s="30" r="D2824">
        <v>136</v>
      </c>
      <c t="s" s="30" r="E2824">
        <v>4</v>
      </c>
      <c t="s" s="30" r="F2824">
        <v>4</v>
      </c>
      <c t="s" s="30" r="G2824">
        <v>301</v>
      </c>
      <c t="s" s="12" r="H2824">
        <v>319</v>
      </c>
      <c s="30" r="I2824">
        <v>77</v>
      </c>
      <c t="s" s="30" r="J2824">
        <v>162</v>
      </c>
      <c t="s" s="30" r="K2824">
        <v>182</v>
      </c>
      <c t="s" s="30" r="L2824">
        <v>111</v>
      </c>
      <c s="30" r="M2824">
        <v>27</v>
      </c>
      <c s="26" r="N2824">
        <v>6.3</v>
      </c>
      <c s="23" r="O2824">
        <v>0.017</v>
      </c>
      <c s="7" r="P2824"/>
      <c s="7" r="Q2824"/>
      <c s="7" r="R2824"/>
    </row>
    <row r="2825">
      <c t="s" s="7" r="A2825">
        <v>201</v>
      </c>
      <c s="7" r="B2825">
        <v>2852</v>
      </c>
      <c s="30" r="C2825">
        <v>8</v>
      </c>
      <c t="s" s="30" r="D2825">
        <v>136</v>
      </c>
      <c t="s" s="30" r="E2825">
        <v>4</v>
      </c>
      <c t="s" s="30" r="F2825">
        <v>4</v>
      </c>
      <c t="s" s="30" r="G2825">
        <v>301</v>
      </c>
      <c t="s" s="12" r="H2825">
        <v>320</v>
      </c>
      <c s="30" r="I2825">
        <v>73</v>
      </c>
      <c t="s" s="30" r="J2825">
        <v>129</v>
      </c>
      <c t="s" s="30" r="K2825">
        <v>132</v>
      </c>
      <c t="s" s="30" r="L2825">
        <v>153</v>
      </c>
      <c s="30" r="M2825">
        <v>26</v>
      </c>
      <c s="26" r="N2825">
        <v>3.5</v>
      </c>
      <c s="23" r="O2825">
        <v>0.01</v>
      </c>
      <c s="7" r="P2825"/>
      <c s="7" r="Q2825"/>
      <c s="7" r="R2825"/>
    </row>
    <row r="2826">
      <c t="s" s="7" r="A2826">
        <v>201</v>
      </c>
      <c s="7" r="B2826">
        <v>2853</v>
      </c>
      <c s="30" r="C2826">
        <v>21</v>
      </c>
      <c t="s" s="30" r="D2826">
        <v>136</v>
      </c>
      <c t="s" s="30" r="E2826">
        <v>4</v>
      </c>
      <c t="s" s="30" r="F2826">
        <v>4</v>
      </c>
      <c t="s" s="30" r="G2826">
        <v>301</v>
      </c>
      <c t="s" s="12" r="H2826">
        <v>321</v>
      </c>
      <c s="30" r="I2826">
        <v>74</v>
      </c>
      <c t="s" s="30" r="J2826">
        <v>113</v>
      </c>
      <c t="s" s="30" r="K2826">
        <v>188</v>
      </c>
      <c t="s" s="30" r="L2826">
        <v>135</v>
      </c>
      <c s="30" r="M2826">
        <v>31</v>
      </c>
      <c s="26" r="N2826">
        <v>2.7</v>
      </c>
      <c s="23" r="O2826">
        <v>0.012</v>
      </c>
      <c s="7" r="P2826"/>
      <c s="7" r="Q2826"/>
      <c s="7" r="R2826"/>
    </row>
    <row r="2827">
      <c t="s" s="7" r="A2827">
        <v>201</v>
      </c>
      <c s="7" r="B2827">
        <v>2854</v>
      </c>
      <c s="30" r="C2827">
        <v>11</v>
      </c>
      <c t="s" s="30" r="D2827">
        <v>136</v>
      </c>
      <c t="s" s="30" r="E2827">
        <v>4</v>
      </c>
      <c t="s" s="30" r="F2827">
        <v>4</v>
      </c>
      <c t="s" s="30" r="G2827">
        <v>301</v>
      </c>
      <c t="s" s="12" r="H2827">
        <v>322</v>
      </c>
      <c s="30" r="I2827">
        <v>80</v>
      </c>
      <c t="s" s="30" r="J2827">
        <v>128</v>
      </c>
      <c t="s" s="30" r="K2827">
        <v>114</v>
      </c>
      <c t="s" s="30" r="L2827">
        <v>137</v>
      </c>
      <c s="30" r="M2827">
        <v>26</v>
      </c>
      <c s="26" r="N2827">
        <v>9.9</v>
      </c>
      <c s="23" r="O2827">
        <v>0.03</v>
      </c>
      <c s="7" r="P2827"/>
      <c s="7" r="Q2827"/>
      <c s="7" r="R2827"/>
    </row>
    <row r="2828">
      <c t="s" s="7" r="A2828">
        <v>201</v>
      </c>
      <c s="7" r="B2828">
        <v>2855</v>
      </c>
      <c s="30" r="C2828">
        <v>19</v>
      </c>
      <c t="s" s="30" r="D2828">
        <v>136</v>
      </c>
      <c t="s" s="30" r="E2828">
        <v>4</v>
      </c>
      <c t="s" s="30" r="F2828">
        <v>4</v>
      </c>
      <c t="s" s="30" r="G2828">
        <v>301</v>
      </c>
      <c t="s" s="12" r="H2828">
        <v>323</v>
      </c>
      <c s="30" r="I2828">
        <v>73</v>
      </c>
      <c t="s" s="30" r="J2828">
        <v>120</v>
      </c>
      <c t="s" s="30" r="K2828">
        <v>134</v>
      </c>
      <c t="s" s="30" r="L2828">
        <v>158</v>
      </c>
      <c s="30" r="M2828">
        <v>26</v>
      </c>
      <c s="26" r="N2828">
        <v>3.1</v>
      </c>
      <c s="23" r="O2828">
        <v>0.01</v>
      </c>
      <c s="7" r="P2828"/>
      <c s="7" r="Q2828"/>
      <c s="7" r="R2828"/>
    </row>
    <row r="2829">
      <c t="s" s="7" r="A2829">
        <v>201</v>
      </c>
      <c s="7" r="B2829">
        <v>2856</v>
      </c>
      <c s="30" r="C2829">
        <v>23</v>
      </c>
      <c t="s" s="30" r="D2829">
        <v>136</v>
      </c>
      <c t="s" s="30" r="E2829">
        <v>4</v>
      </c>
      <c t="s" s="30" r="F2829">
        <v>4</v>
      </c>
      <c t="s" s="30" r="G2829">
        <v>301</v>
      </c>
      <c t="s" s="12" r="H2829">
        <v>324</v>
      </c>
      <c s="30" r="I2829">
        <v>76</v>
      </c>
      <c t="s" s="30" r="J2829">
        <v>117</v>
      </c>
      <c t="s" s="30" r="K2829">
        <v>173</v>
      </c>
      <c t="s" s="30" r="L2829">
        <v>156</v>
      </c>
      <c s="30" r="M2829">
        <v>26</v>
      </c>
      <c s="26" r="N2829">
        <v>5.1</v>
      </c>
      <c s="23" r="O2829">
        <v>0.015</v>
      </c>
      <c s="7" r="P2829"/>
      <c s="7" r="Q2829"/>
      <c s="7" r="R2829"/>
    </row>
    <row r="2830">
      <c t="s" s="7" r="A2830">
        <v>201</v>
      </c>
      <c s="7" r="B2830">
        <v>2857</v>
      </c>
      <c s="30" r="C2830">
        <v>30</v>
      </c>
      <c t="s" s="30" r="D2830">
        <v>147</v>
      </c>
      <c t="s" s="30" r="E2830">
        <v>4</v>
      </c>
      <c t="s" s="30" r="F2830">
        <v>4</v>
      </c>
      <c t="s" s="30" r="G2830">
        <v>301</v>
      </c>
      <c t="s" s="12" r="H2830">
        <v>325</v>
      </c>
      <c s="30" r="I2830">
        <v>57</v>
      </c>
      <c t="s" s="30" r="J2830">
        <v>120</v>
      </c>
      <c t="s" s="30" r="K2830">
        <v>152</v>
      </c>
      <c t="s" s="30" r="L2830">
        <v>153</v>
      </c>
      <c s="30" r="M2830">
        <v>18</v>
      </c>
      <c s="26" r="N2830">
        <v>0.2</v>
      </c>
      <c s="23" r="O2830">
        <v>0.002</v>
      </c>
      <c s="7" r="P2830"/>
      <c s="7" r="Q2830"/>
      <c s="7" r="R2830"/>
    </row>
    <row r="2831">
      <c t="s" s="7" r="A2831">
        <v>201</v>
      </c>
      <c s="7" r="B2831">
        <v>2858</v>
      </c>
      <c s="30" r="C2831">
        <v>24</v>
      </c>
      <c t="s" s="30" r="D2831">
        <v>147</v>
      </c>
      <c t="s" s="30" r="E2831">
        <v>4</v>
      </c>
      <c t="s" s="30" r="F2831">
        <v>4</v>
      </c>
      <c t="s" s="30" r="G2831">
        <v>301</v>
      </c>
      <c t="s" s="12" r="H2831">
        <v>326</v>
      </c>
      <c s="30" r="I2831">
        <v>59</v>
      </c>
      <c t="s" s="30" r="J2831">
        <v>113</v>
      </c>
      <c t="s" s="30" r="K2831">
        <v>167</v>
      </c>
      <c t="s" s="30" r="L2831">
        <v>183</v>
      </c>
      <c s="30" r="M2831">
        <v>17</v>
      </c>
      <c s="26" r="N2831">
        <v>0.5</v>
      </c>
      <c s="23" r="O2831">
        <v>0.002</v>
      </c>
      <c s="7" r="P2831"/>
      <c s="7" r="Q2831"/>
      <c s="7" r="R2831"/>
    </row>
    <row r="2832">
      <c t="s" s="7" r="A2832">
        <v>201</v>
      </c>
      <c s="7" r="B2832">
        <v>2859</v>
      </c>
      <c s="30" r="C2832">
        <v>37</v>
      </c>
      <c t="s" s="30" r="D2832">
        <v>147</v>
      </c>
      <c t="s" s="30" r="E2832">
        <v>4</v>
      </c>
      <c t="s" s="30" r="F2832">
        <v>4</v>
      </c>
      <c t="s" s="30" r="G2832">
        <v>301</v>
      </c>
      <c t="s" s="12" r="H2832">
        <v>327</v>
      </c>
      <c s="30" r="I2832">
        <v>60</v>
      </c>
      <c t="s" s="30" r="J2832">
        <v>162</v>
      </c>
      <c t="s" s="30" r="K2832">
        <v>139</v>
      </c>
      <c t="s" s="30" r="L2832">
        <v>149</v>
      </c>
      <c s="30" r="M2832">
        <v>21</v>
      </c>
      <c s="26" r="N2832">
        <v>0.6</v>
      </c>
      <c s="23" r="O2832">
        <v>0.003</v>
      </c>
      <c s="7" r="P2832"/>
      <c s="7" r="Q2832"/>
      <c s="7" r="R2832"/>
    </row>
    <row r="2833">
      <c t="s" s="7" r="A2833">
        <v>201</v>
      </c>
      <c s="7" r="B2833">
        <v>2860</v>
      </c>
      <c s="30" r="C2833">
        <v>36</v>
      </c>
      <c t="s" s="30" r="D2833">
        <v>147</v>
      </c>
      <c t="s" s="30" r="E2833">
        <v>4</v>
      </c>
      <c t="s" s="30" r="F2833">
        <v>4</v>
      </c>
      <c t="s" s="30" r="G2833">
        <v>301</v>
      </c>
      <c t="s" s="12" r="H2833">
        <v>328</v>
      </c>
      <c s="30" r="I2833">
        <v>74</v>
      </c>
      <c t="s" s="30" r="J2833">
        <v>106</v>
      </c>
      <c t="s" s="30" r="K2833">
        <v>181</v>
      </c>
      <c t="s" s="30" r="L2833">
        <v>233</v>
      </c>
      <c s="30" r="M2833">
        <v>22</v>
      </c>
      <c s="26" r="N2833">
        <v>3</v>
      </c>
      <c s="23" r="O2833">
        <v>0.01</v>
      </c>
      <c s="7" r="P2833"/>
      <c s="7" r="Q2833"/>
      <c s="7" r="R2833"/>
    </row>
    <row r="2834">
      <c t="s" s="7" r="A2834">
        <v>201</v>
      </c>
      <c s="7" r="B2834">
        <v>2861</v>
      </c>
      <c s="30" r="C2834">
        <v>28</v>
      </c>
      <c t="s" s="30" r="D2834">
        <v>147</v>
      </c>
      <c t="s" s="30" r="E2834">
        <v>4</v>
      </c>
      <c t="s" s="30" r="F2834">
        <v>4</v>
      </c>
      <c t="s" s="30" r="G2834">
        <v>301</v>
      </c>
      <c t="s" s="12" r="H2834">
        <v>329</v>
      </c>
      <c s="30" r="I2834">
        <v>72</v>
      </c>
      <c t="s" s="30" r="J2834">
        <v>154</v>
      </c>
      <c t="s" s="30" r="K2834">
        <v>173</v>
      </c>
      <c t="s" s="30" r="L2834">
        <v>119</v>
      </c>
      <c s="30" r="M2834">
        <v>22</v>
      </c>
      <c s="26" r="N2834">
        <v>2.6</v>
      </c>
      <c s="23" r="O2834">
        <v>0.008</v>
      </c>
      <c s="7" r="P2834"/>
      <c s="7" r="Q2834"/>
      <c s="7" r="R2834"/>
    </row>
    <row r="2835">
      <c t="s" s="7" r="A2835">
        <v>201</v>
      </c>
      <c s="7" r="B2835">
        <v>2862</v>
      </c>
      <c s="30" r="C2835">
        <v>15</v>
      </c>
      <c t="s" s="30" r="D2835">
        <v>147</v>
      </c>
      <c t="s" s="30" r="E2835">
        <v>4</v>
      </c>
      <c t="s" s="30" r="F2835">
        <v>4</v>
      </c>
      <c t="s" s="30" r="G2835">
        <v>301</v>
      </c>
      <c t="s" s="12" r="H2835">
        <v>330</v>
      </c>
      <c s="30" r="I2835">
        <v>66</v>
      </c>
      <c t="s" s="30" r="J2835">
        <v>117</v>
      </c>
      <c t="s" s="30" r="K2835">
        <v>182</v>
      </c>
      <c t="s" s="30" r="L2835">
        <v>119</v>
      </c>
      <c s="30" r="M2835">
        <v>24</v>
      </c>
      <c s="26" r="N2835">
        <v>1.1</v>
      </c>
      <c s="23" r="O2835">
        <v>0.005</v>
      </c>
      <c s="7" r="P2835"/>
      <c s="7" r="Q2835"/>
      <c s="7" r="R2835"/>
    </row>
    <row r="2836">
      <c t="s" s="7" r="A2836">
        <v>201</v>
      </c>
      <c s="7" r="B2836">
        <v>2863</v>
      </c>
      <c s="30" r="C2836">
        <v>26</v>
      </c>
      <c t="s" s="30" r="D2836">
        <v>147</v>
      </c>
      <c t="s" s="30" r="E2836">
        <v>4</v>
      </c>
      <c t="s" s="30" r="F2836">
        <v>4</v>
      </c>
      <c t="s" s="30" r="G2836">
        <v>301</v>
      </c>
      <c t="s" s="12" r="H2836">
        <v>331</v>
      </c>
      <c s="30" r="I2836">
        <v>59</v>
      </c>
      <c t="s" s="30" r="J2836">
        <v>113</v>
      </c>
      <c t="s" s="30" r="K2836">
        <v>134</v>
      </c>
      <c t="s" s="30" r="L2836">
        <v>192</v>
      </c>
      <c s="30" r="M2836">
        <v>21</v>
      </c>
      <c s="26" r="N2836">
        <v>0.4</v>
      </c>
      <c s="23" r="O2836">
        <v>0.003</v>
      </c>
      <c s="7" r="P2836"/>
      <c s="7" r="Q2836"/>
      <c s="7" r="R2836"/>
    </row>
  </sheetData>
  <autoFilter ref="A1:R2806">
    <sortState ref="A1:R2806"/>
  </autoFilter>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79.29" defaultRowHeight="15.0"/>
  <cols>
    <col min="1" customWidth="1" max="1" width="20.14"/>
    <col min="2" customWidth="1" max="2" width="19.29"/>
    <col min="3" customWidth="1" max="3" width="20.14"/>
    <col min="4" customWidth="1" max="4" width="19.14"/>
    <col min="5" customWidth="1" max="5" width="19.29"/>
    <col min="6" customWidth="1" max="6" width="16.29"/>
    <col min="7" customWidth="1" max="7" width="19.29"/>
    <col min="8" customWidth="1" max="8" width="14.71"/>
    <col min="9" customWidth="1" max="9" width="18.43"/>
    <col min="10" customWidth="1" max="10" width="17.57"/>
    <col min="11" customWidth="1" max="11" width="19.29"/>
    <col min="12" customWidth="1" max="12" width="20.71"/>
    <col min="13" customWidth="1" max="13" width="20.14"/>
    <col min="14" customWidth="1" max="14" width="19.14"/>
  </cols>
  <sheetData>
    <row r="1">
      <c t="s" s="48" r="A1">
        <v>332</v>
      </c>
      <c t="s" s="48" r="B1">
        <v>333</v>
      </c>
      <c t="s" s="48" r="C1">
        <v>334</v>
      </c>
      <c t="s" s="48" r="D1">
        <v>335</v>
      </c>
      <c t="s" s="48" r="E1">
        <v>336</v>
      </c>
      <c t="s" s="48" r="F1">
        <v>337</v>
      </c>
      <c t="s" s="48" r="G1">
        <v>338</v>
      </c>
      <c t="s" s="48" r="H1">
        <v>339</v>
      </c>
      <c t="s" s="48" r="I1">
        <v>340</v>
      </c>
      <c t="s" s="48" r="J1">
        <v>341</v>
      </c>
      <c t="s" s="48" r="K1">
        <v>342</v>
      </c>
      <c t="s" s="48" r="L1">
        <v>343</v>
      </c>
      <c t="s" s="48" r="M1">
        <v>344</v>
      </c>
      <c t="s" s="48" r="N1">
        <v>345</v>
      </c>
    </row>
    <row r="2">
      <c t="str" s="76" r="A2">
        <f>HYPERLINK("http://sofifa.com/en/fifa13winter/player/147102-burak-yilmaz","B. Yılmaz")</f>
        <v>B. Yılmaz</v>
      </c>
      <c t="str" s="76" r="B2">
        <f>HYPERLINK("http://sofifa.com/en/fifa13winter/player/148816-alexander-esswein","A. Esswein")</f>
        <v>A. Esswein</v>
      </c>
      <c t="str" s="76" r="C2">
        <f>HYPERLINK("http://sofifa.com/en/fifa13winter/player/149098-abdoulaye-ba","A. Ba")</f>
        <v>A. Ba</v>
      </c>
      <c t="str" s="76" r="D2">
        <f>HYPERLINK("http://sofifa.com/en/fifa13winter/player/146003-antonio-cassano","A. Cassano")</f>
        <v>A. Cassano</v>
      </c>
      <c t="str" s="76" r="E2">
        <f>HYPERLINK("http://sofifa.com/en/fifa13winter/player/146729-alberto-aquilani","A. Aquilani")</f>
        <v>A. Aquilani</v>
      </c>
      <c t="str" s="76" r="F2">
        <f>HYPERLINK("http://sofifa.com/en/fifa13winter/player/146081-alexandr-anyukov","A. Anyukov")</f>
        <v>A. Anyukov</v>
      </c>
      <c t="str" s="76" r="G2">
        <f>HYPERLINK("http://sofifa.com/en/fifa13winter/player/147695-antonio-candreva","A. Candreva")</f>
        <v>A. Candreva</v>
      </c>
      <c t="str" s="76" r="H2">
        <f>HYPERLINK("http://sofifa.com/en/fifa13winter/player/146003-antonio-cassano","A. Cassano")</f>
        <v>A. Cassano</v>
      </c>
      <c t="str" s="76" r="I2">
        <f>HYPERLINK("http://sofifa.com/en/fifa13winter/player/146915-alberto-costa","A. Costa")</f>
        <v>A. Costa</v>
      </c>
      <c t="str" s="76" r="J2">
        <f>HYPERLINK("http://sofifa.com/en/fifa13winter/player/145573-andrea-barzagli","A. Barzagli")</f>
        <v>A. Barzagli</v>
      </c>
      <c t="str" s="76" r="K2">
        <f>HYPERLINK("http://sofifa.com/en/fifa13winter/player/145573-andrea-barzagli","A. Barzagli")</f>
        <v>A. Barzagli</v>
      </c>
      <c t="str" s="76" r="L2">
        <f>HYPERLINK("http://sofifa.com/en/fifa13winter/player/147490-alexis-allart","A. Allart")</f>
        <v>A. Allart</v>
      </c>
      <c t="str" s="76" r="M2">
        <f>HYPERLINK("http://sofifa.com/en/fifa13winter/player/148585-aymen-abdennour","A. Abdennour")</f>
        <v>A. Abdennour</v>
      </c>
      <c t="str" s="76" r="N2">
        <f>HYPERLINK("http://sofifa.com/en/fifa13winter/player/144270-antonio-di-natale","A. Di Natale")</f>
        <v>A. Di Natale</v>
      </c>
    </row>
    <row r="3">
      <c t="str" s="76" r="A3">
        <f>HYPERLINK("http://sofifa.com/en/fifa13winter/player/146942-c-ronaldo-dos-santos-aveiro","Cristiano Ronaldo")</f>
        <v>Cristiano Ronaldo</v>
      </c>
      <c t="str" s="76" r="B3">
        <f>HYPERLINK("http://sofifa.com/en/fifa13winter/player/148952-abel-hernandez","A. Hernández")</f>
        <v>A. Hernández</v>
      </c>
      <c t="str" s="76" r="C3">
        <f>HYPERLINK("http://sofifa.com/en/fifa13winter/player/148373-andy-carroll","A. Carroll")</f>
        <v>A. Carroll</v>
      </c>
      <c t="str" s="76" r="D3">
        <f>HYPERLINK("http://sofifa.com/en/fifa13winter/player/145550-andres-dalessandro","A. D'Alessandro")</f>
        <v>A. D'Alessandro</v>
      </c>
      <c t="str" s="76" r="E3">
        <f>HYPERLINK("http://sofifa.com/en/fifa13winter/player/146003-antonio-cassano","A. Cassano")</f>
        <v>A. Cassano</v>
      </c>
      <c t="str" s="76" r="F3">
        <f>HYPERLINK("http://sofifa.com/en/fifa13winter/player/148409-alexander-buttner","A. Büttner")</f>
        <v>A. Büttner</v>
      </c>
      <c t="str" s="76" r="G3">
        <f>HYPERLINK("http://sofifa.com/en/fifa13winter/player/146915-alberto-costa","A. Costa")</f>
        <v>A. Costa</v>
      </c>
      <c t="str" s="76" r="H3">
        <f>HYPERLINK("http://sofifa.com/en/fifa13winter/player/148046-angel-di-maria","A. Di María")</f>
        <v>A. Di María</v>
      </c>
      <c t="str" s="76" r="I3">
        <f>HYPERLINK("http://sofifa.com/en/fifa13winter/player/144270-antonio-di-natale","A. Di Natale")</f>
        <v>A. Di Natale</v>
      </c>
      <c t="str" s="76" r="J3">
        <f>HYPERLINK("http://sofifa.com/en/fifa13winter/player/145434-ashley-cole","A. Cole")</f>
        <v>A. Cole</v>
      </c>
      <c t="str" s="76" r="K3">
        <f>HYPERLINK("http://sofifa.com/en/fifa13winter/player/147888-alexandre-song","A. Song")</f>
        <v>A. Song</v>
      </c>
      <c t="str" s="76" r="L3">
        <f>HYPERLINK("http://sofifa.com/en/fifa13winter/player/148718-andre-ayew","A. Ayew")</f>
        <v>A. Ayew</v>
      </c>
      <c t="str" s="76" r="M3">
        <f>HYPERLINK("http://sofifa.com/en/fifa13winter/player/149886-alphonse-areola","A. Aréola")</f>
        <v>A. Aréola</v>
      </c>
      <c t="str" s="76" r="N3">
        <f>HYPERLINK("http://sofifa.com/en/fifa13winter/player/146576-carlos-tevez","C. Tévez")</f>
        <v>C. Tévez</v>
      </c>
    </row>
    <row r="4">
      <c t="str" s="76" r="A4">
        <f>HYPERLINK("http://sofifa.com/en/fifa13winter/player/146577-darren-bent","D. Bent")</f>
        <v>D. Bent</v>
      </c>
      <c t="str" s="76" r="B4">
        <f>HYPERLINK("http://sofifa.com/en/fifa13winter/player/148501-abdulrahim-jizawi","A. Jizawi")</f>
        <v>A. Jizawi</v>
      </c>
      <c t="str" s="76" r="C4">
        <f>HYPERLINK("http://sofifa.com/en/fifa13winter/player/148559-aden-flint","A. Flint")</f>
        <v>A. Flint</v>
      </c>
      <c t="str" s="76" r="D4">
        <f>HYPERLINK("http://sofifa.com/en/fifa13winter/player/148046-angel-di-maria","A. Di María")</f>
        <v>A. Di María</v>
      </c>
      <c t="str" s="76" r="E4">
        <f>HYPERLINK("http://sofifa.com/en/fifa13winter/player/143919-ariel-ibagaza","A. Ibagaza")</f>
        <v>A. Ibagaza</v>
      </c>
      <c t="str" s="76" r="F4">
        <f>HYPERLINK("http://sofifa.com/en/fifa13winter/player/147005-antonio-nocerino","A. Nocerino")</f>
        <v>A. Nocerino</v>
      </c>
      <c t="str" s="76" r="G4">
        <f>HYPERLINK("http://sofifa.com/en/fifa13winter/player/147220-aleksandar-kolarov","A. Kolarov")</f>
        <v>A. Kolarov</v>
      </c>
      <c t="str" s="76" r="H4">
        <f>HYPERLINK("http://sofifa.com/en/fifa13winter/player/147906-anthony-mounier","A. Mounier")</f>
        <v>A. Mounier</v>
      </c>
      <c t="str" s="76" r="I4">
        <f>HYPERLINK("http://sofifa.com/en/fifa13winter/player/144853-andrea-pirlo","A. Pirlo")</f>
        <v>A. Pirlo</v>
      </c>
      <c t="str" s="76" r="J4">
        <f>HYPERLINK("http://sofifa.com/en/fifa13winter/player/147778-arturo-vidal","A. Vidal")</f>
        <v>A. Vidal</v>
      </c>
      <c t="str" s="76" r="K4">
        <f>HYPERLINK("http://sofifa.com/en/fifa13winter/player/147778-arturo-vidal","A. Vidal")</f>
        <v>A. Vidal</v>
      </c>
      <c t="str" s="76" r="L4">
        <f>HYPERLINK("http://sofifa.com/en/fifa13winter/player/149203-adrian-blad","A. Błąd")</f>
        <v>A. Błąd</v>
      </c>
      <c t="str" s="76" r="M4">
        <f>HYPERLINK("http://sofifa.com/en/fifa13winter/player/149233-amido-balde","A. Baldé")</f>
        <v>A. Baldé</v>
      </c>
      <c t="str" s="76" r="N4">
        <f>HYPERLINK("http://sofifa.com/en/fifa13winter/player/146942-c-ronaldo-dos-santos-aveiro","Cristiano Ronaldo")</f>
        <v>Cristiano Ronaldo</v>
      </c>
    </row>
    <row r="5">
      <c t="str" s="76" r="A5">
        <f>HYPERLINK("http://sofifa.com/en/fifa13winter/player/145475-dimitar-berbatov","D. Berbatov")</f>
        <v>D. Berbatov</v>
      </c>
      <c t="str" s="76" r="B5">
        <f>HYPERLINK("http://sofifa.com/en/fifa13winter/player/147742-aaron-lennon","A. Lennon")</f>
        <v>A. Lennon</v>
      </c>
      <c t="str" s="76" r="C5">
        <f>HYPERLINK("http://sofifa.com/en/fifa13winter/player/147026-alexander-pollhuber","A. Pöllhuber")</f>
        <v>A. Pöllhuber</v>
      </c>
      <c t="str" s="76" r="D5">
        <f>HYPERLINK("http://sofifa.com/en/fifa13winter/player/144270-antonio-di-natale","A. Di Natale")</f>
        <v>A. Di Natale</v>
      </c>
      <c t="str" s="76" r="E5">
        <f>HYPERLINK("http://sofifa.com/en/fifa13winter/player/144853-andrea-pirlo","A. Pirlo")</f>
        <v>A. Pirlo</v>
      </c>
      <c t="str" s="76" r="F5">
        <f>HYPERLINK("http://sofifa.com/en/fifa13winter/player/149092-aaron-ramsey","A. Ramsey")</f>
        <v>A. Ramsey</v>
      </c>
      <c t="str" s="76" r="G5">
        <f>HYPERLINK("http://sofifa.com/en/fifa13winter/player/146563-arjen-robben","A. Robben")</f>
        <v>A. Robben</v>
      </c>
      <c t="str" s="76" r="H5">
        <f>HYPERLINK("http://sofifa.com/en/fifa13winter/player/147096-ashley-young","A. Young")</f>
        <v>A. Young</v>
      </c>
      <c t="str" s="76" r="I5">
        <f>HYPERLINK("http://sofifa.com/en/fifa13winter/player/147628-balazs-dzsudzsak","B. Dzsudzsák")</f>
        <v>B. Dzsudzsák</v>
      </c>
      <c t="str" s="76" r="J5">
        <f>HYPERLINK("http://sofifa.com/en/fifa13winter/player/148199-bruno-ecuele-manga","B. Ecuélé Manga")</f>
        <v>B. Ecuélé Manga</v>
      </c>
      <c t="str" s="76" r="K5">
        <f>HYPERLINK("http://sofifa.com/en/fifa13winter/player/145616-brede-hangeland","B. Hangeland")</f>
        <v>B. Hangeland</v>
      </c>
      <c t="str" s="76" r="L5">
        <f>HYPERLINK("http://sofifa.com/en/fifa13winter/player/147996-amine-chermiti","A. Chermiti")</f>
        <v>A. Chermiti</v>
      </c>
      <c t="str" s="76" r="M5">
        <f>HYPERLINK("http://sofifa.com/en/fifa13winter/player/146803-aristide-bance","A. Bancé")</f>
        <v>A. Bancé</v>
      </c>
      <c t="str" s="76" r="N5">
        <f>HYPERLINK("http://sofifa.com/en/fifa13winter/player/145782-david-villa-sanchez","David Villa")</f>
        <v>David Villa</v>
      </c>
    </row>
    <row r="6">
      <c t="str" s="76" r="A6">
        <f>HYPERLINK("http://sofifa.com/en/fifa13winter/player/144877-diego-milito","D. Milito")</f>
        <v>D. Milito</v>
      </c>
      <c t="str" s="76" r="B6">
        <f>HYPERLINK("http://sofifa.com/en/fifa13winter/player/149750-ahmed-musa","A. Musa")</f>
        <v>A. Musa</v>
      </c>
      <c t="str" s="76" r="C6">
        <f>HYPERLINK("http://sofifa.com/en/fifa13winter/player/148048-andrea-ranocchia","A. Ranocchia")</f>
        <v>A. Ranocchia</v>
      </c>
      <c t="str" s="76" r="D6">
        <f>HYPERLINK("http://sofifa.com/en/fifa13winter/player/148047-alejandro-gomez","A. Gómez")</f>
        <v>A. Gómez</v>
      </c>
      <c t="str" s="76" r="E6">
        <f>HYPERLINK("http://sofifa.com/en/fifa13winter/player/144241-alexsandro-de-souza","Alex")</f>
        <v>Alex</v>
      </c>
      <c t="str" s="76" r="F6">
        <f>HYPERLINK("http://sofifa.com/en/fifa13winter/player/147778-arturo-vidal","A. Vidal")</f>
        <v>A. Vidal</v>
      </c>
      <c t="str" s="76" r="G6">
        <f>HYPERLINK("http://sofifa.com/en/fifa13winter/player/149042-andre-schurrle","A. Schürrle")</f>
        <v>A. Schürrle</v>
      </c>
      <c t="str" s="76" r="H6">
        <f>HYPERLINK("http://sofifa.com/en/fifa13winter/player/147628-balazs-dzsudzsak","B. Dzsudzsák")</f>
        <v>B. Dzsudzsák</v>
      </c>
      <c t="str" s="76" r="I6">
        <f>HYPERLINK("http://sofifa.com/en/fifa13winter/player/147686-benat-etxebarria-urkiaga","Beñat")</f>
        <v>Beñat</v>
      </c>
      <c t="str" s="76" r="J6">
        <f>HYPERLINK("http://sofifa.com/en/fifa13winter/player/146887-daniel-agger","D. Agger")</f>
        <v>D. Agger</v>
      </c>
      <c t="str" s="76" r="K6">
        <f>HYPERLINK("http://sofifa.com/en/fifa13winter/player/146754-bastian-schweinsteiger","B. Schweinsteiger")</f>
        <v>B. Schweinsteiger</v>
      </c>
      <c t="str" s="76" r="L6">
        <f>HYPERLINK("http://sofifa.com/en/fifa13winter/player/146314-aniello-cutolo","A. Cutolo")</f>
        <v>A. Cutolo</v>
      </c>
      <c t="str" s="76" r="M6">
        <f>HYPERLINK("http://sofifa.com/en/fifa13winter/player/146977-alexandr-bukharov","A. Bukharov")</f>
        <v>A. Bukharov</v>
      </c>
      <c t="str" s="76" r="N6">
        <f>HYPERLINK("http://sofifa.com/en/fifa13winter/player/147681-edinson-cavani","E. Cavani")</f>
        <v>E. Cavani</v>
      </c>
    </row>
    <row r="7">
      <c t="str" s="76" r="A7">
        <f>HYPERLINK("http://sofifa.com/en/fifa13winter/player/147312-radamel-falcao-garcia-zarate","Falcao")</f>
        <v>Falcao</v>
      </c>
      <c t="str" s="76" r="B7">
        <f>HYPERLINK("http://sofifa.com/en/fifa13winter/player/149084-arvydas-novikovas","A. Novikovas")</f>
        <v>A. Novikovas</v>
      </c>
      <c t="str" s="76" r="C7">
        <f>HYPERLINK("http://sofifa.com/en/fifa13winter/player/145487-aritz-aduriz-zubeldia","Aduriz")</f>
        <v>Aduriz</v>
      </c>
      <c t="str" s="76" r="D7">
        <f>HYPERLINK("http://sofifa.com/en/fifa13winter/player/147831-adam-johnson","A. Johnson")</f>
        <v>A. Johnson</v>
      </c>
      <c t="str" s="76" r="E7">
        <f>HYPERLINK("http://sofifa.com/en/fifa13winter/player/146754-bastian-schweinsteiger","B. Schweinsteiger")</f>
        <v>B. Schweinsteiger</v>
      </c>
      <c t="str" s="76" r="F7">
        <f>HYPERLINK("http://sofifa.com/en/fifa13winter/player/147494-marcos-arouca-da-silva","Arouca")</f>
        <v>Arouca</v>
      </c>
      <c t="str" s="76" r="G7">
        <f>HYPERLINK("http://sofifa.com/en/fifa13winter/player/148002-alain-traore","A. Traoré")</f>
        <v>A. Traoré</v>
      </c>
      <c t="str" s="76" r="H7">
        <f>HYPERLINK("http://sofifa.com/en/fifa13winter/player/146889-chris-brunt","C. Brunt")</f>
        <v>C. Brunt</v>
      </c>
      <c t="str" s="76" r="I7">
        <f>HYPERLINK("http://sofifa.com/en/fifa13winter/player/147368-christian-fuchs","C. Fuchs")</f>
        <v>C. Fuchs</v>
      </c>
      <c t="str" s="76" r="J7">
        <f>HYPERLINK("http://sofifa.com/en/fifa13winter/player/146767-giorgio-chiellini","G. Chiellini")</f>
        <v>G. Chiellini</v>
      </c>
      <c t="str" s="76" r="K7">
        <f>HYPERLINK("http://sofifa.com/en/fifa13winter/player/147783-jose-alberto-canas-ruiz-herrera","Cañas")</f>
        <v>Cañas</v>
      </c>
      <c t="str" s="76" r="L7">
        <f>HYPERLINK("http://sofifa.com/en/fifa13winter/player/148046-angel-di-maria","A. Di María")</f>
        <v>A. Di María</v>
      </c>
      <c t="str" s="76" r="M7">
        <f>HYPERLINK("http://sofifa.com/en/fifa13winter/player/146483-andy-butler","A. Butler")</f>
        <v>A. Butler</v>
      </c>
      <c t="str" s="76" r="N7">
        <f>HYPERLINK("http://sofifa.com/en/fifa13winter/player/146090-jermain-defoe","J. Defoe")</f>
        <v>J. Defoe</v>
      </c>
    </row>
    <row r="8">
      <c t="str" s="76" r="A8">
        <f>HYPERLINK("http://sofifa.com/en/fifa13winter/player/146963-fernando-llorente-torres","Fernando Llorente")</f>
        <v>Fernando Llorente</v>
      </c>
      <c t="str" s="76" r="B8">
        <f>HYPERLINK("http://sofifa.com/en/fifa13winter/player/148909-andrea-raimondi","A. Raimondi")</f>
        <v>A. Raimondi</v>
      </c>
      <c t="str" s="76" r="C8">
        <f>HYPERLINK("http://sofifa.com/en/fifa13winter/player/145496-ben-futcher","B. Futcher")</f>
        <v>B. Futcher</v>
      </c>
      <c t="str" s="76" r="D8">
        <f>HYPERLINK("http://sofifa.com/en/fifa13winter/player/147365-aiden-mcgeady","A. McGeady")</f>
        <v>A. McGeady</v>
      </c>
      <c t="str" s="76" r="E8">
        <f>HYPERLINK("http://sofifa.com/en/fifa13winter/player/146918-borja-valero-iglesias","Borja Valero")</f>
        <v>Borja Valero</v>
      </c>
      <c t="str" s="76" r="F8">
        <f>HYPERLINK("http://sofifa.com/en/fifa13winter/player/146627-brett-holman","B. Holman")</f>
        <v>B. Holman</v>
      </c>
      <c t="str" s="76" r="G8">
        <f>HYPERLINK("http://sofifa.com/en/fifa13winter/player/146754-bastian-schweinsteiger","B. Schweinsteiger")</f>
        <v>B. Schweinsteiger</v>
      </c>
      <c t="str" s="76" r="H8">
        <f>HYPERLINK("http://sofifa.com/en/fifa13winter/player/147368-christian-fuchs","C. Fuchs")</f>
        <v>C. Fuchs</v>
      </c>
      <c t="str" s="76" r="I8">
        <f>HYPERLINK("http://sofifa.com/en/fifa13winter/player/147607-claudiu-keseru","C. Keserü")</f>
        <v>C. Keserü</v>
      </c>
      <c t="str" s="76" r="J8">
        <f>HYPERLINK("http://sofifa.com/en/fifa13winter/player/148439-holger-badstuber","H. Badstuber")</f>
        <v>H. Badstuber</v>
      </c>
      <c t="str" s="76" r="K8">
        <f>HYPERLINK("http://sofifa.com/en/fifa13winter/player/146380-daniele-de-rossi","D. De Rossi")</f>
        <v>D. De Rossi</v>
      </c>
      <c t="str" s="76" r="L8">
        <f>HYPERLINK("http://sofifa.com/en/fifa13winter/player/144270-antonio-di-natale","A. Di Natale")</f>
        <v>A. Di Natale</v>
      </c>
      <c t="str" s="76" r="M8">
        <f>HYPERLINK("http://sofifa.com/en/fifa13winter/player/148373-andy-carroll","A. Carroll")</f>
        <v>A. Carroll</v>
      </c>
      <c t="str" s="76" r="N8">
        <f>HYPERLINK("http://sofifa.com/en/fifa13winter/player/147811-lionel-messi","L. Messi")</f>
        <v>L. Messi</v>
      </c>
    </row>
    <row r="9">
      <c t="str" s="76" r="A9">
        <f>HYPERLINK("http://sofifa.com/en/fifa13winter/player/146451-frederico-chaves-guedes","Fred")</f>
        <v>Fred</v>
      </c>
      <c t="str" s="76" r="B9">
        <f>HYPERLINK("http://sofifa.com/en/fifa13winter/player/146563-arjen-robben","A. Robben")</f>
        <v>A. Robben</v>
      </c>
      <c t="str" s="76" r="C9">
        <f>HYPERLINK("http://sofifa.com/en/fifa13winter/player/145616-brede-hangeland","B. Hangeland")</f>
        <v>B. Hangeland</v>
      </c>
      <c t="str" s="76" r="D9">
        <f>HYPERLINK("http://sofifa.com/en/fifa13winter/player/149195-alper-potuk","A. Potuk")</f>
        <v>A. Potuk</v>
      </c>
      <c t="str" s="76" r="E9">
        <f>HYPERLINK("http://sofifa.com/en/fifa13winter/player/149507-christian-eriksen","C. Eriksen")</f>
        <v>C. Eriksen</v>
      </c>
      <c t="str" s="76" r="F9">
        <f>HYPERLINK("http://sofifa.com/en/fifa13winter/player/147735-blaise-matuidi","B. Matuidi")</f>
        <v>B. Matuidi</v>
      </c>
      <c t="str" s="76" r="G9">
        <f>HYPERLINK("http://sofifa.com/en/fifa13winter/player/148309-bruno-cesar-zanaki","Bruno César")</f>
        <v>Bruno César</v>
      </c>
      <c t="str" s="76" r="H9">
        <f>HYPERLINK("http://sofifa.com/en/fifa13winter/player/146415-christian-pander","C. Pander")</f>
        <v>C. Pander</v>
      </c>
      <c t="str" s="76" r="I9">
        <f>HYPERLINK("http://sofifa.com/en/fifa13winter/player/146415-christian-pander","C. Pander")</f>
        <v>C. Pander</v>
      </c>
      <c t="str" s="76" r="J9">
        <f>HYPERLINK("http://sofifa.com/en/fifa13winter/player/146700-javier-mascherano","J. Mascherano")</f>
        <v>J. Mascherano</v>
      </c>
      <c t="str" s="76" r="K9">
        <f>HYPERLINK("http://sofifa.com/en/fifa13winter/player/147318-diego-godin","D. Godín")</f>
        <v>D. Godín</v>
      </c>
      <c t="str" s="76" r="L9">
        <f>HYPERLINK("http://sofifa.com/en/fifa13winter/player/148900-alan-dzagoev","A. Dzagoev")</f>
        <v>A. Dzagoev</v>
      </c>
      <c t="str" s="76" r="M9">
        <f>HYPERLINK("http://sofifa.com/en/fifa13winter/player/147077-aurelien-chedjou","A. Chedjou")</f>
        <v>A. Chedjou</v>
      </c>
      <c t="str" s="76" r="N9">
        <f>HYPERLINK("http://sofifa.com/en/fifa13winter/player/147061-lukas-podolski","L. Podolski")</f>
        <v>L. Podolski</v>
      </c>
    </row>
    <row r="10">
      <c t="str" s="76" r="A10">
        <f>HYPERLINK("http://sofifa.com/en/fifa13winter/player/145698-german-denis","G. Denis")</f>
        <v>G. Denis</v>
      </c>
      <c t="str" s="76" r="B10">
        <f>HYPERLINK("http://sofifa.com/en/fifa13winter/player/148766-aleksandar-tonev","A. Tonev")</f>
        <v>A. Tonev</v>
      </c>
      <c t="str" s="76" r="C10">
        <f>HYPERLINK("http://sofifa.com/en/fifa13winter/player/144531-christoph-dabrowski","C. Dabrowski")</f>
        <v>C. Dabrowski</v>
      </c>
      <c t="str" s="76" r="D10">
        <f>HYPERLINK("http://sofifa.com/en/fifa13winter/player/147810-anton-putsila","A. Putsila")</f>
        <v>A. Putsila</v>
      </c>
      <c t="str" s="76" r="E10">
        <f>HYPERLINK("http://sofifa.com/en/fifa13winter/player/143710-clarence-seedorf","C. Seedorf")</f>
        <v>C. Seedorf</v>
      </c>
      <c t="str" s="76" r="F10">
        <f>HYPERLINK("http://sofifa.com/en/fifa13winter/player/147688-carlos-carmona","C. Carmona")</f>
        <v>C. Carmona</v>
      </c>
      <c t="str" s="76" r="G10">
        <f>HYPERLINK("http://sofifa.com/en/fifa13winter/player/147600-craig-gardner","C. Gardner")</f>
        <v>C. Gardner</v>
      </c>
      <c t="str" s="76" r="H10">
        <f>HYPERLINK("http://sofifa.com/en/fifa13winter/player/148326-dusan-tadic","D. Tadić")</f>
        <v>D. Tadić</v>
      </c>
      <c t="str" s="76" r="I10">
        <f>HYPERLINK("http://sofifa.com/en/fifa13winter/player/143375-david-beckham","D. Beckham")</f>
        <v>D. Beckham</v>
      </c>
      <c t="str" s="76" r="J10">
        <f>HYPERLINK("http://sofifa.com/en/fifa13winter/player/147840-luiz-gustavo-dias","Luiz Gustavo")</f>
        <v>Luiz Gustavo</v>
      </c>
      <c t="str" s="76" r="K10">
        <f>HYPERLINK("http://sofifa.com/en/fifa13winter/player/148075-delvin-ndinga","D. Ndinga")</f>
        <v>D. Ndinga</v>
      </c>
      <c t="str" s="76" r="L10">
        <f>HYPERLINK("http://sofifa.com/en/fifa13winter/player/147491-alharbi-el-jadeyaoui","A. El Jadeyaoui")</f>
        <v>A. El Jadeyaoui</v>
      </c>
      <c t="str" s="76" r="M10">
        <f>HYPERLINK("http://sofifa.com/en/fifa13winter/player/149903-andreas-cornelius","A. Cornelius")</f>
        <v>A. Cornelius</v>
      </c>
      <c t="str" s="76" r="N10">
        <f>HYPERLINK("http://sofifa.com/en/fifa13winter/player/147202-mohammed-abdellaoue","M. Abdellaoue")</f>
        <v>M. Abdellaoue</v>
      </c>
    </row>
    <row r="11">
      <c t="str" s="76" r="A11">
        <f>HYPERLINK("http://sofifa.com/en/fifa13winter/player/147980-gonzalo-higuain","G. Higuaín")</f>
        <v>G. Higuaín</v>
      </c>
      <c t="str" s="76" r="B11">
        <f>HYPERLINK("http://sofifa.com/en/fifa13winter/player/149359-abdul-majeed-waris","A. Waris")</f>
        <v>A. Waris</v>
      </c>
      <c t="str" s="76" r="C11">
        <f>HYPERLINK("http://sofifa.com/en/fifa13winter/player/145124-cesar-gonzalez-navas","César Navas")</f>
        <v>César Navas</v>
      </c>
      <c t="str" s="76" r="D11">
        <f>HYPERLINK("http://sofifa.com/en/fifa13winter/player/146563-arjen-robben","A. Robben")</f>
        <v>A. Robben</v>
      </c>
      <c t="str" s="76" r="E11">
        <f>HYPERLINK("http://sofifa.com/en/fifa13winter/player/147760-francesc-fabregas-i-soler","Cesc Fàbregas")</f>
        <v>Cesc Fàbregas</v>
      </c>
      <c t="str" s="76" r="F11">
        <f>HYPERLINK("http://sofifa.com/en/fifa13winter/player/146594-cedric-makiadi","C. Makiadi")</f>
        <v>C. Makiadi</v>
      </c>
      <c t="str" s="76" r="G11">
        <f>HYPERLINK("http://sofifa.com/en/fifa13winter/player/146415-christian-pander","C. Pander")</f>
        <v>C. Pander</v>
      </c>
      <c t="str" s="76" r="H11">
        <f>HYPERLINK("http://sofifa.com/en/fifa13winter/player/145258-sergio-paulo-barbosa-valente","Duda")</f>
        <v>Duda</v>
      </c>
      <c t="str" s="76" r="I11">
        <f>HYPERLINK("http://sofifa.com/en/fifa13winter/player/144419-didier-drogba","D. Drogba")</f>
        <v>D. Drogba</v>
      </c>
      <c t="str" s="76" r="J11">
        <f>HYPERLINK("http://sofifa.com/en/fifa13winter/player/147733-martin-caceres","M. Cáceres")</f>
        <v>M. Cáceres</v>
      </c>
      <c t="str" s="76" r="K11">
        <f>HYPERLINK("http://sofifa.com/en/fifa13winter/player/147842-fernando-reges","Fernando")</f>
        <v>Fernando</v>
      </c>
      <c t="str" s="76" r="L11">
        <f>HYPERLINK("http://sofifa.com/en/fifa13winter/player/148047-alejandro-gomez","A. Gómez")</f>
        <v>A. Gómez</v>
      </c>
      <c t="str" s="76" r="M11">
        <f>HYPERLINK("http://sofifa.com/en/fifa13winter/player/145363-adama-coulibaly","A. Coulibaly")</f>
        <v>A. Coulibaly</v>
      </c>
      <c t="str" s="76" r="N11">
        <f>HYPERLINK("http://sofifa.com/en/fifa13winter/player/148518-marco-reus","M. Reus")</f>
        <v>M. Reus</v>
      </c>
    </row>
    <row r="12">
      <c t="str" s="76" r="A12">
        <f>HYPERLINK("http://sofifa.com/en/fifa13winter/player/146642-hernan-barcos","H. Barcos")</f>
        <v>H. Barcos</v>
      </c>
      <c t="str" s="76" r="B12">
        <f>HYPERLINK("http://sofifa.com/en/fifa13winter/player/149380-aidan-white","A. White")</f>
        <v>A. White</v>
      </c>
      <c t="str" s="76" r="C12">
        <f>HYPERLINK("http://sofifa.com/en/fifa13winter/player/144419-didier-drogba","D. Drogba")</f>
        <v>D. Drogba</v>
      </c>
      <c t="str" s="76" r="D12">
        <f>HYPERLINK("http://sofifa.com/en/fifa13winter/player/149042-andre-schurrle","A. Schürrle")</f>
        <v>A. Schürrle</v>
      </c>
      <c t="str" s="76" r="E12">
        <f>HYPERLINK("http://sofifa.com/en/fifa13winter/player/142931-dmitriy-loskov","D. Loskov")</f>
        <v>D. Loskov</v>
      </c>
      <c t="str" s="76" r="F12">
        <f>HYPERLINK("http://sofifa.com/en/fifa13winter/player/147290-claudio-marchisio","C. Marchisio")</f>
        <v>C. Marchisio</v>
      </c>
      <c t="str" s="76" r="G12">
        <f>HYPERLINK("http://sofifa.com/en/fifa13winter/player/146942-c-ronaldo-dos-santos-aveiro","Cristiano Ronaldo")</f>
        <v>Cristiano Ronaldo</v>
      </c>
      <c t="str" s="76" r="H12">
        <f>HYPERLINK("http://sofifa.com/en/fifa13winter/player/146272-franck-ribery","F. Ribéry")</f>
        <v>F. Ribéry</v>
      </c>
      <c t="str" s="76" r="I12">
        <f>HYPERLINK("http://sofifa.com/en/fifa13winter/player/142931-dmitriy-loskov","D. Loskov")</f>
        <v>D. Loskov</v>
      </c>
      <c t="str" s="76" r="J12">
        <f>HYPERLINK("http://sofifa.com/en/fifa13winter/player/148352-mats-hummels","M. Hummels")</f>
        <v>M. Hummels</v>
      </c>
      <c t="str" s="76" r="K12">
        <f>HYPERLINK("http://sofifa.com/en/fifa13winter/player/146767-giorgio-chiellini","G. Chiellini")</f>
        <v>G. Chiellini</v>
      </c>
      <c t="str" s="76" r="L12">
        <f>HYPERLINK("http://sofifa.com/en/fifa13winter/player/149046-andreas-laudrup","A. Laudrup")</f>
        <v>A. Laudrup</v>
      </c>
      <c t="str" s="76" r="M12">
        <f>HYPERLINK("http://sofifa.com/en/fifa13winter/player/148236-artem-dzyuba","A. Dzyuba")</f>
        <v>A. Dzyuba</v>
      </c>
      <c t="str" s="76" r="N12">
        <f>HYPERLINK("http://sofifa.com/en/fifa13winter/player/148062-nolan-roux","N. Roux")</f>
        <v>N. Roux</v>
      </c>
    </row>
    <row r="13">
      <c t="str" s="76" r="A13">
        <f>HYPERLINK("http://sofifa.com/en/fifa13winter/player/148154-javier-hernandez","J. Hernández")</f>
        <v>J. Hernández</v>
      </c>
      <c t="str" s="76" r="B13">
        <f>HYPERLINK("http://sofifa.com/en/fifa13winter/player/147907-carlos-adriano-de-souza-cruz","Adriano")</f>
        <v>Adriano</v>
      </c>
      <c t="str" s="76" r="C13">
        <f>HYPERLINK("http://sofifa.com/en/fifa13winter/player/144387-daniel-van-buyten","D. van Buyten")</f>
        <v>D. van Buyten</v>
      </c>
      <c t="str" s="76" r="D13">
        <f>HYPERLINK("http://sofifa.com/en/fifa13winter/player/147666-arda-turan","A. Turan")</f>
        <v>A. Turan</v>
      </c>
      <c t="str" s="76" r="E13">
        <f>HYPERLINK("http://sofifa.com/en/fifa13winter/player/144968-david-pizarro","D. Pizarro")</f>
        <v>D. Pizarro</v>
      </c>
      <c t="str" s="76" r="F13">
        <f>HYPERLINK("http://sofifa.com/en/fifa13winter/player/147004-christian-noboa","C. Noboa")</f>
        <v>C. Noboa</v>
      </c>
      <c t="str" s="76" r="G13">
        <f>HYPERLINK("http://sofifa.com/en/fifa13winter/player/146964-diniyar-bilyaletdinov","D. Bilyaletdinov")</f>
        <v>D. Bilyaletdinov</v>
      </c>
      <c t="str" s="76" r="H13">
        <f>HYPERLINK("http://sofifa.com/en/fifa13winter/player/144981-fabio-aurelio-rodrigues","Fábio Aurélio")</f>
        <v>Fábio Aurélio</v>
      </c>
      <c t="str" s="76" r="I13">
        <f>HYPERLINK("http://sofifa.com/en/fifa13winter/player/147038-daniel-tozser","D. Tőzsér")</f>
        <v>D. Tőzsér</v>
      </c>
      <c t="str" s="76" r="J13">
        <f>HYPERLINK("http://sofifa.com/en/fifa13winter/player/148346-neven-subotic","N. Subotić")</f>
        <v>N. Subotić</v>
      </c>
      <c t="str" s="76" r="K13">
        <f>HYPERLINK("http://sofifa.com/en/fifa13winter/player/146700-javier-mascherano","J. Mascherano")</f>
        <v>J. Mascherano</v>
      </c>
      <c t="str" s="76" r="L13">
        <f>HYPERLINK("http://sofifa.com/en/fifa13winter/player/147742-aaron-lennon","A. Lennon")</f>
        <v>A. Lennon</v>
      </c>
      <c t="str" s="76" r="M13">
        <f>HYPERLINK("http://sofifa.com/en/fifa13winter/player/145966-achille-emana","A. Emana")</f>
        <v>A. Emana</v>
      </c>
      <c t="str" s="76" r="N13">
        <f>HYPERLINK("http://sofifa.com/en/fifa13winter/player/146505-omar-luis-cardosa","O. Cardosa")</f>
        <v>O. Cardosa</v>
      </c>
    </row>
    <row r="14">
      <c t="str" s="76" r="A14">
        <f>HYPERLINK("http://sofifa.com/en/fifa13winter/player/147989-karim-benzema","K. Benzema")</f>
        <v>K. Benzema</v>
      </c>
      <c t="str" s="76" r="B14">
        <f>HYPERLINK("http://sofifa.com/en/fifa13winter/player/147618-luiz-diallisson-de-souza-alves","Apodi")</f>
        <v>Apodi</v>
      </c>
      <c t="str" s="76" r="C14">
        <f>HYPERLINK("http://sofifa.com/en/fifa13winter/player/147681-david-wheater","D. Wheater")</f>
        <v>D. Wheater</v>
      </c>
      <c t="str" s="76" r="D14">
        <f>HYPERLINK("http://sofifa.com/en/fifa13winter/player/147136-bryan-ruiz","B. Ruíz")</f>
        <v>B. Ruíz</v>
      </c>
      <c t="str" s="76" r="E14">
        <f>HYPERLINK("http://sofifa.com/en/fifa13winter/player/147279-david-josue-jimenez-silva","David Silva")</f>
        <v>David Silva</v>
      </c>
      <c t="str" s="76" r="F14">
        <f>HYPERLINK("http://sofifa.com/en/fifa13winter/player/146576-carlos-tevez","C. Tévez")</f>
        <v>C. Tévez</v>
      </c>
      <c t="str" s="76" r="G14">
        <f>HYPERLINK("http://sofifa.com/en/fifa13winter/player/145821-denis-kolodin","D. Kolodin")</f>
        <v>D. Kolodin</v>
      </c>
      <c t="str" s="76" r="H14">
        <f>HYPERLINK("http://sofifa.com/en/fifa13winter/player/146477-jeremy-mathieu","J. Mathieu")</f>
        <v>J. Mathieu</v>
      </c>
      <c t="str" s="76" r="I14">
        <f>HYPERLINK("http://sofifa.com/en/fifa13winter/player/146965-diego-ribas-da-cunha","Diego")</f>
        <v>Diego</v>
      </c>
      <c t="str" s="76" r="J14">
        <f>HYPERLINK("http://sofifa.com/en/fifa13winter/player/145739-nemanja-vidic","N. Vidić")</f>
        <v>N. Vidić</v>
      </c>
      <c t="str" s="76" r="K14">
        <f>HYPERLINK("http://sofifa.com/en/fifa13winter/player/146428-jeremy-toulalan","J. Toulalan")</f>
        <v>J. Toulalan</v>
      </c>
      <c t="str" s="76" r="L14">
        <f>HYPERLINK("http://sofifa.com/en/fifa13winter/player/147365-aiden-mcgeady","A. McGeady")</f>
        <v>A. McGeady</v>
      </c>
      <c t="str" s="76" r="M14">
        <f>HYPERLINK("http://sofifa.com/en/fifa13winter/player/149630-andrew-jean-baptiste","A. Jean-Baptiste")</f>
        <v>A. Jean-Baptiste</v>
      </c>
      <c t="str" s="76" r="N14">
        <f>HYPERLINK("http://sofifa.com/en/fifa13winter/player/146315-oscar-cardozo","O. Cardozo")</f>
        <v>O. Cardozo</v>
      </c>
    </row>
    <row r="15">
      <c t="str" s="76" r="A15">
        <f>HYPERLINK("http://sofifa.com/en/fifa13winter/player/146399-klaas-jan-huntelaar","K. Huntelaar")</f>
        <v>K. Huntelaar</v>
      </c>
      <c t="str" s="76" r="B15">
        <f>HYPERLINK("http://sofifa.com/en/fifa13winter/player/147684-billy-dennehy","B. Dennehy")</f>
        <v>B. Dennehy</v>
      </c>
      <c t="str" s="76" r="C15">
        <f>HYPERLINK("http://sofifa.com/en/fifa13winter/player/147206-francisco-amorebielsa","F. Amorebielsa")</f>
        <v>F. Amorebielsa</v>
      </c>
      <c t="str" s="76" r="D15">
        <f>HYPERLINK("http://sofifa.com/en/fifa13winter/player/149707-bernard-anicio-caldeira-duarte","Bernard")</f>
        <v>Bernard</v>
      </c>
      <c t="str" s="76" r="E15">
        <f>HYPERLINK("http://sofifa.com/en/fifa13winter/player/144223-anderson-luis-de-souza","Deco")</f>
        <v>Deco</v>
      </c>
      <c t="str" s="76" r="F15">
        <f>HYPERLINK("http://sofifa.com/en/fifa13winter/player/147880-christian-trasch","C. Träsch")</f>
        <v>C. Träsch</v>
      </c>
      <c t="str" s="76" r="G15">
        <f>HYPERLINK("http://sofifa.com/en/fifa13winter/player/144603-dejan-stankovic","D. Stanković")</f>
        <v>D. Stanković</v>
      </c>
      <c t="str" s="76" r="H15">
        <f>HYPERLINK("http://sofifa.com/en/fifa13winter/player/147275-james-milner","J. Milner")</f>
        <v>J. Milner</v>
      </c>
      <c t="str" s="76" r="I15">
        <f>HYPERLINK("http://sofifa.com/en/fifa13winter/player/146623-francesco-lodi","F. Lodi")</f>
        <v>F. Lodi</v>
      </c>
      <c t="str" s="76" r="J15">
        <f>HYPERLINK("http://sofifa.com/en/fifa13winter/player/146490-philipp-lahm","P. Lahm")</f>
        <v>P. Lahm</v>
      </c>
      <c t="str" s="76" r="K15">
        <f>HYPERLINK("http://sofifa.com/en/fifa13winter/player/148247-javier-martinez-aginaga","Javi Martinez")</f>
        <v>Javi Martinez</v>
      </c>
      <c t="str" s="76" r="L15">
        <f>HYPERLINK("http://sofifa.com/en/fifa13winter/player/149750-ahmed-musa","A. Musa")</f>
        <v>A. Musa</v>
      </c>
      <c t="str" s="76" r="M15">
        <f>HYPERLINK("http://sofifa.com/en/fifa13winter/player/147809-adli-lachheb","A. Lachheb")</f>
        <v>A. Lachheb</v>
      </c>
      <c t="str" s="76" r="N15">
        <f>HYPERLINK("http://sofifa.com/en/fifa13winter/player/145846-rodrigo-palacio","R. Palacio")</f>
        <v>R. Palacio</v>
      </c>
    </row>
    <row r="16">
      <c t="str" s="76" r="A16">
        <f>HYPERLINK("http://sofifa.com/en/fifa13winter/player/144833-dong-gook-lee","Lee Dong Gook")</f>
        <v>Lee Dong Gook</v>
      </c>
      <c t="str" s="76" r="B16">
        <f>HYPERLINK("http://sofifa.com/en/fifa13winter/player/150211-bradley-garmston","B. Garmston")</f>
        <v>B. Garmston</v>
      </c>
      <c t="str" s="76" r="C16">
        <f>HYPERLINK("http://sofifa.com/en/fifa13winter/player/147712-federico-fazio","F. Fazio")</f>
        <v>F. Fazio</v>
      </c>
      <c t="str" s="76" r="D16">
        <f>HYPERLINK("http://sofifa.com/en/fifa13winter/player/147419-charles-nzogbia","C. N'Zogbia")</f>
        <v>C. N'Zogbia</v>
      </c>
      <c t="str" s="76" r="E16">
        <f>HYPERLINK("http://sofifa.com/en/fifa13winter/player/146965-diego-ribas-da-cunha","Diego")</f>
        <v>Diego</v>
      </c>
      <c t="str" s="76" r="F16">
        <f>HYPERLINK("http://sofifa.com/en/fifa13winter/player/146771-dusan-basta","D. Basta")</f>
        <v>D. Basta</v>
      </c>
      <c t="str" s="76" r="G16">
        <f>HYPERLINK("http://sofifa.com/en/fifa13winter/player/147452-fredy-guarin","F. Guarín")</f>
        <v>F. Guarín</v>
      </c>
      <c t="str" s="76" r="H16">
        <f>HYPERLINK("http://sofifa.com/en/fifa13winter/player/145647-joaquin-sanchez-rodriguez","Joaquín")</f>
        <v>Joaquín</v>
      </c>
      <c t="str" s="76" r="I16">
        <f>HYPERLINK("http://sofifa.com/en/fifa13winter/player/144892-fabrizio-miccoli","F. Miccoli")</f>
        <v>F. Miccoli</v>
      </c>
      <c t="str" s="76" r="J16">
        <f>HYPERLINK("http://sofifa.com/en/fifa13winter/player/146232-kepler-laveran-lima-ferreira","Pepe")</f>
        <v>Pepe</v>
      </c>
      <c t="str" s="76" r="K16">
        <f>HYPERLINK("http://sofifa.com/en/fifa13winter/player/147743-medhi-benatia","M. Benatia")</f>
        <v>M. Benatia</v>
      </c>
      <c t="str" s="76" r="L16">
        <f>HYPERLINK("http://sofifa.com/en/fifa13winter/player/148368-alfie-potter","A. Potter")</f>
        <v>A. Potter</v>
      </c>
      <c t="str" s="76" r="M16">
        <f>HYPERLINK("http://sofifa.com/en/fifa13winter/player/146503-andre-laurito","A. Laurito")</f>
        <v>A. Laurito</v>
      </c>
      <c t="str" s="76" r="N16">
        <f>HYPERLINK("http://sofifa.com/en/fifa13winter/player/146393-robin-van-persie","R. van Persie")</f>
        <v>R. van Persie</v>
      </c>
    </row>
    <row r="17">
      <c t="str" s="76" r="A17">
        <f>HYPERLINK("http://sofifa.com/en/fifa13winter/player/145392-luis-fabiano-clemente","Luís Fabiano")</f>
        <v>Luís Fabiano</v>
      </c>
      <c t="str" s="76" r="B17">
        <f>HYPERLINK("http://sofifa.com/en/fifa13winter/player/150504-benito-raman","B. Raman")</f>
        <v>B. Raman</v>
      </c>
      <c t="str" s="76" r="C17">
        <f>HYPERLINK("http://sofifa.com/en/fifa13winter/player/144366-frode-kippe","F. Kippe")</f>
        <v>F. Kippe</v>
      </c>
      <c t="str" s="76" r="D17">
        <f>HYPERLINK("http://sofifa.com/en/fifa13winter/player/148427-carlos-vela","C. Vela")</f>
        <v>C. Vela</v>
      </c>
      <c t="str" s="76" r="E17">
        <f>HYPERLINK("http://sofifa.com/en/fifa13winter/player/148182-ever-banega","E. Banega")</f>
        <v>E. Banega</v>
      </c>
      <c t="str" s="76" r="F17">
        <f>HYPERLINK("http://sofifa.com/en/fifa13winter/player/149062-danny-welbeck","D. Welbeck")</f>
        <v>D. Welbeck</v>
      </c>
      <c t="str" s="76" r="G17">
        <f>HYPERLINK("http://sofifa.com/en/fifa13winter/player/144520-frank-lampard","F. Lampard")</f>
        <v>F. Lampard</v>
      </c>
      <c t="str" s="76" r="H17">
        <f>HYPERLINK("http://sofifa.com/en/fifa13winter/player/147413-matt-jarvis","M. Jarvis")</f>
        <v>M. Jarvis</v>
      </c>
      <c t="str" s="76" r="I17">
        <f>HYPERLINK("http://sofifa.com/en/fifa13winter/player/148619-gylfi-sigurdhsson","G. Sigurðsson")</f>
        <v>G. Sigurðsson</v>
      </c>
      <c t="str" s="76" r="J17">
        <f>HYPERLINK("http://sofifa.com/en/fifa13winter/player/147669-gerard-pique-bernabeu","Piqué")</f>
        <v>Piqué</v>
      </c>
      <c t="str" s="76" r="K17">
        <f>HYPERLINK("http://sofifa.com/en/fifa13winter/player/145654-michael-carrick","M. Carrick")</f>
        <v>M. Carrick</v>
      </c>
      <c t="str" s="76" r="L17">
        <f>HYPERLINK("http://sofifa.com/en/fifa13winter/player/148909-andrea-raimondi","A. Raimondi")</f>
        <v>A. Raimondi</v>
      </c>
      <c t="str" s="76" r="M17">
        <f>HYPERLINK("http://sofifa.com/en/fifa13winter/player/147296-assani-lukimya","A. Lukimya")</f>
        <v>A. Lukimya</v>
      </c>
      <c t="str" s="76" r="N17">
        <f>HYPERLINK("http://sofifa.com/en/fifa13winter/player/147203-wayne-rooney","W. Rooney")</f>
        <v>W. Rooney</v>
      </c>
    </row>
    <row r="18">
      <c t="str" s="76" r="A18">
        <f>HYPERLINK("http://sofifa.com/en/fifa13winter/player/147097-mario-gomez","M. Gomez")</f>
        <v>M. Gomez</v>
      </c>
      <c t="str" s="76" r="B18">
        <f>HYPERLINK("http://sofifa.com/en/fifa13winter/player/149048-ben-amadou-sangare","B. Sangaré")</f>
        <v>B. Sangaré</v>
      </c>
      <c t="str" s="76" r="C18">
        <f>HYPERLINK("http://sofifa.com/en/fifa13winter/player/147312-radamel-falcao-garcia-zarate","Falcao")</f>
        <v>Falcao</v>
      </c>
      <c t="str" s="76" r="D18">
        <f>HYPERLINK("http://sofifa.com/en/fifa13winter/player/147835-carlos-eduardo-marques","Carlos Eduardo")</f>
        <v>Carlos Eduardo</v>
      </c>
      <c t="str" s="76" r="E18">
        <f>HYPERLINK("http://sofifa.com/en/fifa13winter/player/143889-francesco-totti","F. Totti")</f>
        <v>F. Totti</v>
      </c>
      <c t="str" s="76" r="F18">
        <f>HYPERLINK("http://sofifa.com/en/fifa13winter/player/147706-danilo-veron-bairros","Danilinho")</f>
        <v>Danilinho</v>
      </c>
      <c t="str" s="76" r="G18">
        <f>HYPERLINK("http://sofifa.com/en/fifa13winter/player/146206-fabio-quagliarella","F. Quagliarella")</f>
        <v>F. Quagliarella</v>
      </c>
      <c t="str" s="76" r="H18">
        <f>HYPERLINK("http://sofifa.com/en/fifa13winter/player/148290-mesut-ozil","M. Özil")</f>
        <v>M. Özil</v>
      </c>
      <c t="str" s="76" r="I18">
        <f>HYPERLINK("http://sofifa.com/en/fifa13winter/player/148683-hiroshi-kiyotake","H. Kiyotake")</f>
        <v>H. Kiyotake</v>
      </c>
      <c t="str" s="76" r="J18">
        <f>HYPERLINK("http://sofifa.com/en/fifa13winter/player/144452-carles-puyol-saforcada","Puyol")</f>
        <v>Puyol</v>
      </c>
      <c t="str" s="76" r="K18">
        <f>HYPERLINK("http://sofifa.com/en/fifa13winter/player/148352-mats-hummels","M. Hummels")</f>
        <v>M. Hummels</v>
      </c>
      <c t="str" s="76" r="L18">
        <f>HYPERLINK("http://sofifa.com/en/fifa13winter/player/146563-arjen-robben","A. Robben")</f>
        <v>A. Robben</v>
      </c>
      <c t="str" s="76" r="M18">
        <f>HYPERLINK("http://sofifa.com/en/fifa13winter/player/146002-alexander-madlung","A. Madlung")</f>
        <v>A. Madlung</v>
      </c>
      <c t="str" s="76" r="N18">
        <f>HYPERLINK("http://sofifa.com/en/fifa13winter/player/145721-zlatan-ibrahimovic","Z. Ibrahimović")</f>
        <v>Z. Ibrahimović</v>
      </c>
    </row>
    <row r="19">
      <c t="str" s="76" r="A19">
        <f>HYPERLINK("http://sofifa.com/en/fifa13winter/player/144509-miroslav-klose","M. Klose")</f>
        <v>M. Klose</v>
      </c>
      <c t="str" s="76" r="B19">
        <f>HYPERLINK("http://sofifa.com/en/fifa13winter/player/149707-bernard-anicio-caldeira-duarte","Bernard")</f>
        <v>Bernard</v>
      </c>
      <c t="str" s="76" r="C19">
        <f>HYPERLINK("http://sofifa.com/en/fifa13winter/player/146963-fernando-llorente-torres","Fernando Llorente")</f>
        <v>Fernando Llorente</v>
      </c>
      <c t="str" s="76" r="D19">
        <f>HYPERLINK("http://sofifa.com/en/fifa13winter/player/149626-philippe-coutinho-correia","Coutinho")</f>
        <v>Coutinho</v>
      </c>
      <c t="str" s="76" r="E19">
        <f>HYPERLINK("http://sofifa.com/en/fifa13winter/player/149029-ilkay-gundogan","I. Gündoğan")</f>
        <v>I. Gündoğan</v>
      </c>
      <c t="str" s="76" r="F19">
        <f>HYPERLINK("http://sofifa.com/en/fifa13winter/player/147681-edinson-cavani","E. Cavani")</f>
        <v>E. Cavani</v>
      </c>
      <c t="str" s="76" r="G19">
        <f>HYPERLINK("http://sofifa.com/en/fifa13winter/player/143889-francesco-totti","F. Totti")</f>
        <v>F. Totti</v>
      </c>
      <c t="str" s="76" r="H19">
        <f>HYPERLINK("http://sofifa.com/en/fifa13winter/player/148134-marcelo-vieira-da-silva","Marcelo")</f>
        <v>Marcelo</v>
      </c>
      <c t="str" s="76" r="I19">
        <f>HYPERLINK("http://sofifa.com/en/fifa13winter/player/147055-a-hernanes-de-carvalho-a-lima","Hernanes")</f>
        <v>Hernanes</v>
      </c>
      <c t="str" s="76" r="J19">
        <f>HYPERLINK("http://sofifa.com/en/fifa13winter/player/144660-rio-ferdinand","R. Ferdinand")</f>
        <v>R. Ferdinand</v>
      </c>
      <c t="str" s="76" r="K19">
        <f>HYPERLINK("http://sofifa.com/en/fifa13winter/player/146875-nigel-de-jong","N. de Jong")</f>
        <v>N. de Jong</v>
      </c>
      <c t="str" s="76" r="L19">
        <f>HYPERLINK("http://sofifa.com/en/fifa13winter/player/148355-alexis-sanchez","A. Sánchez")</f>
        <v>A. Sánchez</v>
      </c>
      <c t="str" s="76" r="M19">
        <f>HYPERLINK("http://sofifa.com/en/fifa13winter/player/145508-ariza-makukula","A. Makukula")</f>
        <v>A. Makukula</v>
      </c>
      <c s="52" r="N19"/>
    </row>
    <row r="20">
      <c t="str" s="76" r="A20">
        <f>HYPERLINK("http://sofifa.com/en/fifa13winter/player/148062-nolan-roux","N. Roux")</f>
        <v>N. Roux</v>
      </c>
      <c t="str" s="76" r="B20">
        <f>HYPERLINK("http://sofifa.com/en/fifa13winter/player/147344-corey-ashe","C. Ashe")</f>
        <v>C. Ashe</v>
      </c>
      <c t="str" s="76" r="C20">
        <f>HYPERLINK("http://sofifa.com/en/fifa13winter/player/147102-graziano-pelle","G. Pellè")</f>
        <v>G. Pellè</v>
      </c>
      <c t="str" s="76" r="D20">
        <f>HYPERLINK("http://sofifa.com/en/fifa13winter/player/146942-c-ronaldo-dos-santos-aveiro","Cristiano Ronaldo")</f>
        <v>Cristiano Ronaldo</v>
      </c>
      <c t="str" s="76" r="E20">
        <f>HYPERLINK("http://sofifa.com/en/fifa13winter/player/146672-andres-iniesta-lujan","Iniesta")</f>
        <v>Iniesta</v>
      </c>
      <c t="str" s="76" r="F20">
        <f>HYPERLINK("http://sofifa.com/en/fifa13winter/player/147042-elias-mendes-trindade","Elias")</f>
        <v>Elias</v>
      </c>
      <c t="str" s="76" r="G20">
        <f>HYPERLINK("http://sofifa.com/en/fifa13winter/player/146719-gokhan-inler","G. Inler")</f>
        <v>G. Inler</v>
      </c>
      <c t="str" s="76" r="H20">
        <f>HYPERLINK("http://sofifa.com/en/fifa13winter/player/147712-patrick-ebert","P. Ebert")</f>
        <v>P. Ebert</v>
      </c>
      <c t="str" s="76" r="I20">
        <f>HYPERLINK("http://sofifa.com/en/fifa13winter/player/145217-juan-arango","J. Arango")</f>
        <v>J. Arango</v>
      </c>
      <c t="str" s="76" r="J20">
        <f>HYPERLINK("http://sofifa.com/en/fifa13winter/player/148484-sven-bender","S. Bender")</f>
        <v>S. Bender</v>
      </c>
      <c t="str" s="76" r="K20">
        <f>HYPERLINK("http://sofifa.com/en/fifa13winter/player/148818-nicolas-nkoulou","N. N'Koulou")</f>
        <v>N. N'Koulou</v>
      </c>
      <c t="str" s="76" r="L20">
        <f>HYPERLINK("http://sofifa.com/en/fifa13winter/player/149042-andre-schurrle","A. Schürrle")</f>
        <v>A. Schürrle</v>
      </c>
      <c t="str" s="76" r="M20">
        <f>HYPERLINK("http://sofifa.com/en/fifa13winter/player/145618-aquivaldo-mosquera","A. Mosquera")</f>
        <v>A. Mosquera</v>
      </c>
      <c s="52" r="N20"/>
    </row>
    <row r="21">
      <c t="str" s="76" r="A21">
        <f>HYPERLINK("http://sofifa.com/en/fifa13winter/player/146505-omar-luis-cardosa","O. Cardosa")</f>
        <v>O. Cardosa</v>
      </c>
      <c t="str" s="76" r="B21">
        <f>HYPERLINK("http://sofifa.com/en/fifa13winter/player/149472-christian-atsu","C. Atsu")</f>
        <v>C. Atsu</v>
      </c>
      <c t="str" s="76" r="C21">
        <f>HYPERLINK("http://sofifa.com/en/fifa13winter/player/146195-gianvito-plasmati","G. Plasmati")</f>
        <v>G. Plasmati</v>
      </c>
      <c t="str" s="76" r="D21">
        <f>HYPERLINK("http://sofifa.com/en/fifa13winter/player/147762-dries-mertens","D. Mertens")</f>
        <v>D. Mertens</v>
      </c>
      <c t="str" s="76" r="E21">
        <f>HYPERLINK("http://sofifa.com/en/fifa13winter/player/149463-jack-wilshere","J. Wilshere")</f>
        <v>J. Wilshere</v>
      </c>
      <c t="str" s="76" r="F21">
        <f>HYPERLINK("http://sofifa.com/en/fifa13winter/player/147846-fegor-ogude","F. Ogude")</f>
        <v>F. Ogude</v>
      </c>
      <c t="str" s="76" r="G21">
        <f>HYPERLINK("http://sofifa.com/en/fifa13winter/player/147477-givanildo-vieira-de-souza","Hulk")</f>
        <v>Hulk</v>
      </c>
      <c t="str" s="76" r="H21">
        <f>HYPERLINK("http://sofifa.com/en/fifa13winter/player/147599-pedro-leon-sanchez-gil","Pedro León")</f>
        <v>Pedro León</v>
      </c>
      <c t="str" s="76" r="I21">
        <f>HYPERLINK("http://sofifa.com/en/fifa13winter/player/145431-juande-aranguren","J. Aranguren")</f>
        <v>J. Aranguren</v>
      </c>
      <c t="str" s="76" r="J21">
        <f>HYPERLINK("http://sofifa.com/en/fifa13winter/player/146806-thiago-emiliano-da-silva","Thiago Silva")</f>
        <v>Thiago Silva</v>
      </c>
      <c t="str" s="76" r="K21">
        <f>HYPERLINK("http://sofifa.com/en/fifa13winter/player/146490-philipp-lahm","P. Lahm")</f>
        <v>P. Lahm</v>
      </c>
      <c t="str" s="76" r="L21">
        <f>HYPERLINK("http://sofifa.com/en/fifa13winter/player/144645-archie-thompson","A. Thompson")</f>
        <v>A. Thompson</v>
      </c>
      <c t="str" s="76" r="M21">
        <f>HYPERLINK("http://sofifa.com/en/fifa13winter/player/148145-angelo-ogbonna","A. Ogbonna")</f>
        <v>A. Ogbonna</v>
      </c>
      <c s="52" r="N21"/>
    </row>
    <row r="22">
      <c t="str" s="76" r="A22">
        <f>HYPERLINK("http://sofifa.com/en/fifa13winter/player/146315-oscar-cardozo","O. Cardozo")</f>
        <v>O. Cardozo</v>
      </c>
      <c t="str" s="76" r="B22">
        <f>HYPERLINK("http://sofifa.com/en/fifa13winter/player/148108-claudio-beauvue","C. Beauvue")</f>
        <v>C. Beauvue</v>
      </c>
      <c t="str" s="76" r="C22">
        <f>HYPERLINK("http://sofifa.com/en/fifa13winter/player/145550-henrik-toft","H. Toft")</f>
        <v>H. Toft</v>
      </c>
      <c t="str" s="76" r="D22">
        <f>HYPERLINK("http://sofifa.com/en/fifa13winter/player/146394-danny-miguel-alves-gomes","Danny")</f>
        <v>Danny</v>
      </c>
      <c t="str" s="76" r="E22">
        <f>HYPERLINK("http://sofifa.com/en/fifa13winter/player/148120-juan-manuel-mata-garcia","Juan Mata")</f>
        <v>Juan Mata</v>
      </c>
      <c t="str" s="76" r="F22">
        <f>HYPERLINK("http://sofifa.com/en/fifa13winter/player/147851-gary-medel","G. Medel")</f>
        <v>G. Medel</v>
      </c>
      <c t="str" s="76" r="G22">
        <f>HYPERLINK("http://sofifa.com/en/fifa13winter/player/145217-juan-arango","J. Arango")</f>
        <v>J. Arango</v>
      </c>
      <c t="str" s="76" r="H22">
        <f>HYPERLINK("http://sofifa.com/en/fifa13winter/player/142856-ryan-giggs","R. Giggs")</f>
        <v>R. Giggs</v>
      </c>
      <c t="str" s="76" r="I22">
        <f>HYPERLINK("http://sofifa.com/en/fifa13winter/player/147435-keisuke-honda","K. Honda")</f>
        <v>K. Honda</v>
      </c>
      <c t="str" s="76" r="J22">
        <f>HYPERLINK("http://sofifa.com/en/fifa13winter/player/147371-vincent-kompany","V. Kompany")</f>
        <v>V. Kompany</v>
      </c>
      <c t="str" s="76" r="K22">
        <f>HYPERLINK("http://sofifa.com/en/fifa13winter/player/147669-gerard-pique-bernabeu","Piqué")</f>
        <v>Piqué</v>
      </c>
      <c t="str" s="76" r="L22">
        <f>HYPERLINK("http://sofifa.com/en/fifa13winter/player/149359-abdul-majeed-waris","A. Waris")</f>
        <v>A. Waris</v>
      </c>
      <c t="str" s="76" r="M22">
        <f>HYPERLINK("http://sofifa.com/en/fifa13winter/player/148165-adam-pinter","A. Pintér")</f>
        <v>A. Pintér</v>
      </c>
      <c s="52" r="N22"/>
    </row>
    <row r="23">
      <c t="str" s="76" r="A23">
        <f>HYPERLINK("http://sofifa.com/en/fifa13winter/player/146601-patrick-helmes","P. Helmes")</f>
        <v>P. Helmes</v>
      </c>
      <c t="str" s="76" r="B23">
        <f>HYPERLINK("http://sofifa.com/en/fifa13winter/player/147392-christian-benitez","C. Benítez")</f>
        <v>C. Benítez</v>
      </c>
      <c t="str" s="76" r="C23">
        <f>HYPERLINK("http://sofifa.com/en/fifa13winter/player/146307-igor-de-camargo","I. de Camargo")</f>
        <v>I. de Camargo</v>
      </c>
      <c t="str" s="76" r="D23">
        <f>HYPERLINK("http://sofifa.com/en/fifa13winter/player/147279-david-josue-jimenez-silva","David Silva")</f>
        <v>David Silva</v>
      </c>
      <c t="str" s="76" r="E23">
        <f>HYPERLINK("http://sofifa.com/en/fifa13winter/player/145464-lucho-gonzalez","L. González")</f>
        <v>L. González</v>
      </c>
      <c t="str" s="76" r="F23">
        <f>HYPERLINK("http://sofifa.com/en/fifa13winter/player/148841-hector-herrera","H. Herrera")</f>
        <v>H. Herrera</v>
      </c>
      <c t="str" s="76" r="G23">
        <f>HYPERLINK("http://sofifa.com/en/fifa13winter/player/148030-josip-ilicic","J. Iličić")</f>
        <v>J. Iličić</v>
      </c>
      <c t="str" s="76" r="H23">
        <f>HYPERLINK("http://sofifa.com/en/fifa13winter/player/145230-steven-gerrard","S. Gerrard")</f>
        <v>S. Gerrard</v>
      </c>
      <c t="str" s="76" r="I23">
        <f>HYPERLINK("http://sofifa.com/en/fifa13winter/player/147811-lionel-messi","L. Messi")</f>
        <v>L. Messi</v>
      </c>
      <c t="str" s="76" r="J23">
        <f>HYPERLINK("http://sofifa.com/en/fifa13winter/player/144431-walter-samuel","W. Samuel")</f>
        <v>W. Samuel</v>
      </c>
      <c t="str" s="76" r="K23">
        <f>HYPERLINK("http://sofifa.com/en/fifa13winter/player/144452-carles-puyol-saforcada","Puyol")</f>
        <v>Puyol</v>
      </c>
      <c t="str" s="76" r="L23">
        <f>HYPERLINK("http://sofifa.com/en/fifa13winter/player/148379-axel-witsel","A. Witsel")</f>
        <v>A. Witsel</v>
      </c>
      <c t="str" s="76" r="M23">
        <f>HYPERLINK("http://sofifa.com/en/fifa13winter/player/147026-alexander-pollhuber","A. Pöllhuber")</f>
        <v>A. Pöllhuber</v>
      </c>
      <c s="52" r="N23"/>
    </row>
    <row r="24">
      <c t="str" s="76" r="A24">
        <f>HYPERLINK("http://sofifa.com/en/fifa13winter/player/147283-pablo-osvaldo","P. Osvaldo")</f>
        <v>P. Osvaldo</v>
      </c>
      <c t="str" s="76" r="B24">
        <f>HYPERLINK("http://sofifa.com/en/fifa13winter/player/149659-cordell-cato","C. Cato")</f>
        <v>C. Cato</v>
      </c>
      <c t="str" s="76" r="C24">
        <f>HYPERLINK("http://sofifa.com/en/fifa13winter/player/147806-joaquin-boghossian","J. Boghossian")</f>
        <v>J. Boghossian</v>
      </c>
      <c t="str" s="76" r="D24">
        <f>HYPERLINK("http://sofifa.com/en/fifa13winter/player/146965-diego-ribas-da-cunha","Diego")</f>
        <v>Diego</v>
      </c>
      <c t="str" s="76" r="E24">
        <f>HYPERLINK("http://sofifa.com/en/fifa13winter/player/149617-mario-gotze","M. Götze")</f>
        <v>M. Götze</v>
      </c>
      <c t="str" s="76" r="F24">
        <f>HYPERLINK("http://sofifa.com/en/fifa13winter/player/146464-ivan-estrada","I. Estrada")</f>
        <v>I. Estrada</v>
      </c>
      <c t="str" s="76" r="G24">
        <f>HYPERLINK("http://sofifa.com/en/fifa13winter/player/147061-lukas-podolski","L. Podolski")</f>
        <v>L. Podolski</v>
      </c>
      <c t="str" s="76" r="H24">
        <f>HYPERLINK("http://sofifa.com/en/fifa13winter/player/147063-sebastian-larsson","S. Larsson")</f>
        <v>S. Larsson</v>
      </c>
      <c t="str" s="76" r="I24">
        <f>HYPERLINK("http://sofifa.com/en/fifa13winter/player/148816-mehmet-ekici","M. Ekici")</f>
        <v>M. Ekici</v>
      </c>
      <c s="52" r="J24"/>
      <c t="str" s="76" r="K24">
        <f>HYPERLINK("http://sofifa.com/en/fifa13winter/player/146608-rio-antonio-mavuba","R. Mavuba")</f>
        <v>R. Mavuba</v>
      </c>
      <c t="str" s="76" r="L24">
        <f>HYPERLINK("http://sofifa.com/en/fifa13winter/player/143751-adilson-dos-santos","Adi")</f>
        <v>Adi</v>
      </c>
      <c t="str" s="76" r="M24">
        <f>HYPERLINK("http://sofifa.com/en/fifa13winter/player/145787-aidan-price","A. Price")</f>
        <v>A. Price</v>
      </c>
      <c s="52" r="N24"/>
    </row>
    <row r="25">
      <c t="str" s="76" r="A25">
        <f>HYPERLINK("http://sofifa.com/en/fifa13winter/player/148235-robert-lewandowski","R. Lewandowski")</f>
        <v>R. Lewandowski</v>
      </c>
      <c t="str" s="76" r="B25">
        <f>HYPERLINK("http://sofifa.com/en/fifa13winter/player/149007-christopher-drazan","C. Drazan")</f>
        <v>C. Drazan</v>
      </c>
      <c t="str" s="76" r="C25">
        <f>HYPERLINK("http://sofifa.com/en/fifa13winter/player/149006-jan-kirchhoff","J. Kirchhoff")</f>
        <v>J. Kirchhoff</v>
      </c>
      <c t="str" s="76" r="D25">
        <f>HYPERLINK("http://sofifa.com/en/fifa13winter/player/147680-eljero-elia","E. Elia")</f>
        <v>E. Elia</v>
      </c>
      <c t="str" s="76" r="E25">
        <f>HYPERLINK("http://sofifa.com/en/fifa13winter/player/148290-mesut-ozil","M. Özil")</f>
        <v>M. Özil</v>
      </c>
      <c t="str" s="76" r="F25">
        <f>HYPERLINK("http://sofifa.com/en/fifa13winter/player/144971-ivica-olic","I. Olić")</f>
        <v>I. Olić</v>
      </c>
      <c t="str" s="76" r="G25">
        <f>HYPERLINK("http://sofifa.com/en/fifa13winter/player/148518-marco-reus","M. Reus")</f>
        <v>M. Reus</v>
      </c>
      <c t="str" s="76" r="H25">
        <f>HYPERLINK("http://sofifa.com/en/fifa13winter/player/146822-sejad-salihovic","S. Salihović")</f>
        <v>S. Salihović</v>
      </c>
      <c t="str" s="76" r="I25">
        <f>HYPERLINK("http://sofifa.com/en/fifa13winter/player/143825-marcos-dos-santos-assuncao","Marcos Assunção")</f>
        <v>Marcos Assunção</v>
      </c>
      <c s="52" r="J25"/>
      <c t="str" s="76" r="K25">
        <f>HYPERLINK("http://sofifa.com/en/fifa13winter/player/148484-sven-bender","S. Bender")</f>
        <v>S. Bender</v>
      </c>
      <c t="str" s="76" r="L25">
        <f>HYPERLINK("http://sofifa.com/en/fifa13winter/player/148387-ananias-eloi-castro-monteiro","Ananias")</f>
        <v>Ananias</v>
      </c>
      <c t="str" s="76" r="M25">
        <f>HYPERLINK("http://sofifa.com/en/fifa13winter/player/147267-adil-rami","A. Rami")</f>
        <v>A. Rami</v>
      </c>
      <c s="52" r="N25"/>
    </row>
    <row r="26">
      <c t="str" s="76" r="A26">
        <f>HYPERLINK("http://sofifa.com/en/fifa13winter/player/145514-samuel-etoo","S. Eto'o")</f>
        <v>S. Eto'o</v>
      </c>
      <c t="str" s="76" r="B26">
        <f>HYPERLINK("http://sofifa.com/en/fifa13winter/player/147672-chinedu-ede","C. Ede")</f>
        <v>C. Ede</v>
      </c>
      <c t="str" s="76" r="C26">
        <f>HYPERLINK("http://sofifa.com/en/fifa13winter/player/149678-jannick-vestergaard","J. Vestergaard")</f>
        <v>J. Vestergaard</v>
      </c>
      <c t="str" s="76" r="D26">
        <f>HYPERLINK("http://sofifa.com/en/fifa13winter/player/149104-eden-hazard","E. Hazard")</f>
        <v>E. Hazard</v>
      </c>
      <c t="str" s="76" r="E26">
        <f>HYPERLINK("http://sofifa.com/en/fifa13winter/player/146924-riccardo-montolivo","R. Montolivo")</f>
        <v>R. Montolivo</v>
      </c>
      <c t="str" s="76" r="F26">
        <f>HYPERLINK("http://sofifa.com/en/fifa13winter/player/149105-jorge-enriquez","J. Enríquez")</f>
        <v>J. Enríquez</v>
      </c>
      <c t="str" s="76" r="G26">
        <f>HYPERLINK("http://sofifa.com/en/fifa13winter/player/146389-michel-fernandes-bastos","Michel Bastos")</f>
        <v>Michel Bastos</v>
      </c>
      <c t="str" s="76" r="H26">
        <f>HYPERLINK("http://sofifa.com/en/fifa13winter/player/147984-markel-susaeta-laskurain","Susaeta")</f>
        <v>Susaeta</v>
      </c>
      <c t="str" s="76" r="I26">
        <f>HYPERLINK("http://sofifa.com/en/fifa13winter/player/146505-omar-luis-cardosa","O. Cardosa")</f>
        <v>O. Cardosa</v>
      </c>
      <c s="52" r="J26"/>
      <c t="str" s="76" r="K26">
        <f>HYPERLINK("http://sofifa.com/en/fifa13winter/player/145123-sebastian-kehl","S. Kehl")</f>
        <v>S. Kehl</v>
      </c>
      <c t="str" s="76" r="L26">
        <f>HYPERLINK("http://sofifa.com/en/fifa13winter/player/148753-andre-renato-soares-martins","André Martins")</f>
        <v>André Martins</v>
      </c>
      <c t="str" s="76" r="M26">
        <f>HYPERLINK("http://sofifa.com/en/fifa13winter/player/146858-andre-joel-sami","A. Sami")</f>
        <v>A. Sami</v>
      </c>
      <c s="52" r="N26"/>
    </row>
    <row r="27">
      <c t="str" s="76" r="A27">
        <f>HYPERLINK("http://sofifa.com/en/fifa13winter/player/147053-roberto-soldado-rillo","Soldado")</f>
        <v>Soldado</v>
      </c>
      <c t="str" s="76" r="B27">
        <f>HYPERLINK("http://sofifa.com/en/fifa13winter/player/147898-chris-humphrey","C. Humphrey")</f>
        <v>C. Humphrey</v>
      </c>
      <c t="str" s="76" r="C27">
        <f>HYPERLINK("http://sofifa.com/en/fifa13winter/player/146257-kader-mangane","K. Mangane")</f>
        <v>K. Mangane</v>
      </c>
      <c t="str" s="76" r="D27">
        <f>HYPERLINK("http://sofifa.com/en/fifa13winter/player/149526-erik-lamela","E. Lamela")</f>
        <v>E. Lamela</v>
      </c>
      <c t="str" s="76" r="E27">
        <f>HYPERLINK("http://sofifa.com/en/fifa13winter/player/146217-rafael-van-der-vaart","R. van der Vaart")</f>
        <v>R. van der Vaart</v>
      </c>
      <c t="str" s="76" r="F27">
        <f>HYPERLINK("http://sofifa.com/en/fifa13winter/player/149338-joshua-gatt","J. Gatt")</f>
        <v>J. Gatt</v>
      </c>
      <c t="str" s="76" r="G27">
        <f>HYPERLINK("http://sofifa.com/en/fifa13winter/player/146505-omar-luis-cardosa","O. Cardosa")</f>
        <v>O. Cardosa</v>
      </c>
      <c t="str" s="76" r="H27">
        <f>HYPERLINK("http://sofifa.com/en/fifa13winter/player/148736-toni-kroos","T. Kroos")</f>
        <v>T. Kroos</v>
      </c>
      <c t="str" s="76" r="I27">
        <f>HYPERLINK("http://sofifa.com/en/fifa13winter/player/146315-oscar-cardozo","O. Cardozo")</f>
        <v>O. Cardozo</v>
      </c>
      <c s="52" r="J27"/>
      <c t="str" s="76" r="K27">
        <f>HYPERLINK("http://sofifa.com/en/fifa13winter/player/147730-sami-khedira","S. Khedira")</f>
        <v>S. Khedira</v>
      </c>
      <c t="str" s="76" r="L27">
        <f>HYPERLINK("http://sofifa.com/en/fifa13winter/player/149246-brecht-dejaegere","B. Dejaegere")</f>
        <v>B. Dejaegere</v>
      </c>
      <c t="str" s="76" r="M27">
        <f>HYPERLINK("http://sofifa.com/en/fifa13winter/player/149632-adama-soumaoro","A. Soumaoro")</f>
        <v>A. Soumaoro</v>
      </c>
      <c s="52" r="N27"/>
    </row>
    <row r="28">
      <c t="str" s="76" r="A28">
        <f>HYPERLINK("http://sofifa.com/en/fifa13winter/player/146759-vedad-ibisevic","V. Ibišević")</f>
        <v>V. Ibišević</v>
      </c>
      <c t="str" s="76" r="B28">
        <f>HYPERLINK("http://sofifa.com/en/fifa13winter/player/147828-chris-malonga","C. Malonga")</f>
        <v>C. Malonga</v>
      </c>
      <c t="str" s="76" r="C28">
        <f>HYPERLINK("http://sofifa.com/en/fifa13winter/player/147740-shin-wook-kim","Kim Shin Wook")</f>
        <v>Kim Shin Wook</v>
      </c>
      <c t="str" s="76" r="D28">
        <f>HYPERLINK("http://sofifa.com/en/fifa13winter/player/147029-ezequiel-lavezzi","E. Lavezzi")</f>
        <v>E. Lavezzi</v>
      </c>
      <c t="str" s="76" r="E28">
        <f>HYPERLINK("http://sofifa.com/en/fifa13winter/player/146947-selcuk-inan","S. İnan")</f>
        <v>S. İnan</v>
      </c>
      <c t="str" s="76" r="F28">
        <f>HYPERLINK("http://sofifa.com/en/fifa13winter/player/146361-jonas-gutierrez","J. Gutiérrez")</f>
        <v>J. Gutiérrez</v>
      </c>
      <c t="str" s="76" r="G28">
        <f>HYPERLINK("http://sofifa.com/en/fifa13winter/player/146315-oscar-cardozo","O. Cardozo")</f>
        <v>O. Cardozo</v>
      </c>
      <c t="str" s="76" r="H28">
        <f>HYPERLINK("http://sofifa.com/en/fifa13winter/player/146416-xabier-prieto-argarate","Xabi Prieto")</f>
        <v>Xabi Prieto</v>
      </c>
      <c t="str" s="76" r="I28">
        <f>HYPERLINK("http://sofifa.com/en/fifa13winter/player/148078-rasmus-elm","R. Elm")</f>
        <v>R. Elm</v>
      </c>
      <c s="52" r="J28"/>
      <c t="str" s="76" r="K28">
        <f>HYPERLINK("http://sofifa.com/en/fifa13winter/player/147566-stefan-radu","S. Radu")</f>
        <v>S. Radu</v>
      </c>
      <c t="str" s="76" r="L28">
        <f>HYPERLINK("http://sofifa.com/en/fifa13winter/player/146565-brice-jovial","B. Jovial")</f>
        <v>B. Jovial</v>
      </c>
      <c t="str" s="76" r="M28">
        <f>HYPERLINK("http://sofifa.com/en/fifa13winter/player/147979-adam-szalai","A. Szalai")</f>
        <v>A. Szalai</v>
      </c>
      <c s="52" r="N28"/>
    </row>
    <row r="29">
      <c t="str" s="76" r="A29">
        <f>HYPERLINK("http://sofifa.com/en/fifa13winter/player/145721-zlatan-ibrahimovic","Z. Ibrahimović")</f>
        <v>Z. Ibrahimović</v>
      </c>
      <c t="str" s="76" r="B29">
        <f>HYPERLINK("http://sofifa.com/en/fifa13winter/player/147897-carlos-darwin-quintero","C. Quintero")</f>
        <v>C. Quintero</v>
      </c>
      <c t="str" s="76" r="C29">
        <f>HYPERLINK("http://sofifa.com/en/fifa13winter/player/149115-lasse-sobiech","L. Sobiech")</f>
        <v>L. Sobiech</v>
      </c>
      <c t="str" s="76" r="D29">
        <f>HYPERLINK("http://sofifa.com/en/fifa13winter/player/149492-filip-duricic","F. Đuričić")</f>
        <v>F. Đuričić</v>
      </c>
      <c t="str" s="76" r="E29">
        <f>HYPERLINK("http://sofifa.com/en/fifa13winter/player/145653-theo-janssen","T. Janssen")</f>
        <v>T. Janssen</v>
      </c>
      <c t="str" s="76" r="F29">
        <f>HYPERLINK("http://sofifa.com/en/fifa13winter/player/147275-james-milner","J. Milner")</f>
        <v>J. Milner</v>
      </c>
      <c t="str" s="76" r="G29">
        <f>HYPERLINK("http://sofifa.com/en/fifa13winter/player/149902-paul-pogba","P. Pogba")</f>
        <v>P. Pogba</v>
      </c>
      <c t="str" s="76" r="H29">
        <f>HYPERLINK("http://sofifa.com/en/fifa13winter/player/146407-yuriy-zhirkov","Y. Zhirkov")</f>
        <v>Y. Zhirkov</v>
      </c>
      <c t="str" s="76" r="I29">
        <f>HYPERLINK("http://sofifa.com/en/fifa13winter/player/146772-ryan-taylor","R. Taylor")</f>
        <v>R. Taylor</v>
      </c>
      <c s="52" r="J29"/>
      <c t="str" s="76" r="K29">
        <f>HYPERLINK("http://sofifa.com/en/fifa13winter/player/145831-simon-rolfes","S. Rolfes")</f>
        <v>S. Rolfes</v>
      </c>
      <c t="str" s="76" r="L29">
        <f>HYPERLINK("http://sofifa.com/en/fifa13winter/player/149707-bernard-anicio-caldeira-duarte","Bernard")</f>
        <v>Bernard</v>
      </c>
      <c t="str" s="76" r="M29">
        <f>HYPERLINK("http://sofifa.com/en/fifa13winter/player/147710-andres-jose-tunez","A. Túñez")</f>
        <v>A. Túñez</v>
      </c>
      <c s="52" r="N29"/>
    </row>
    <row r="30">
      <c s="52" r="A30"/>
      <c t="str" s="76" r="B30">
        <f>HYPERLINK("http://sofifa.com/en/fifa13winter/player/147212-christian-suarez","C. Suárez")</f>
        <v>C. Suárez</v>
      </c>
      <c t="str" s="76" r="C30">
        <f>HYPERLINK("http://sofifa.com/en/fifa13winter/player/144130-luca-toni","L. Toni")</f>
        <v>L. Toni</v>
      </c>
      <c t="str" s="76" r="D30">
        <f>HYPERLINK("http://sofifa.com/en/fifa13winter/player/146272-franck-ribery","F. Ribéry")</f>
        <v>F. Ribéry</v>
      </c>
      <c t="str" s="76" r="E30">
        <f>HYPERLINK("http://sofifa.com/en/fifa13winter/player/148736-toni-kroos","T. Kroos")</f>
        <v>T. Kroos</v>
      </c>
      <c t="str" s="76" r="F30">
        <f>HYPERLINK("http://sofifa.com/en/fifa13winter/player/145501-ji-sung-park","J. Park")</f>
        <v>J. Park</v>
      </c>
      <c t="str" s="76" r="G30">
        <f>HYPERLINK("http://sofifa.com/en/fifa13winter/player/147361-paulo-ricardo-de-jesus-machado","Paulo Machado")</f>
        <v>Paulo Machado</v>
      </c>
      <c s="52" r="H30"/>
      <c t="str" s="76" r="I30">
        <f>HYPERLINK("http://sofifa.com/en/fifa13winter/player/146217-rafael-van-der-vaart","R. van der Vaart")</f>
        <v>R. van der Vaart</v>
      </c>
      <c s="52" r="J30"/>
      <c t="str" s="76" r="K30">
        <f>HYPERLINK("http://sofifa.com/en/fifa13winter/player/148199-sergio-busquets-burgos","Sergio Busquets")</f>
        <v>Sergio Busquets</v>
      </c>
      <c t="str" s="76" r="L30">
        <f>HYPERLINK("http://sofifa.com/en/fifa13winter/player/150490-armindo-tue-na-bangna","Bruma")</f>
        <v>Bruma</v>
      </c>
      <c t="str" s="76" r="M30">
        <f>HYPERLINK("http://sofifa.com/en/fifa13winter/player/146279-adailton-jose-dos-santos-filho","Adaílton")</f>
        <v>Adaílton</v>
      </c>
      <c s="52" r="N30"/>
    </row>
    <row r="31">
      <c s="52" r="A31"/>
      <c t="str" s="76" r="B31">
        <f>HYPERLINK("http://sofifa.com/en/fifa13winter/player/149530-cedrick-mabwati","Cedrick")</f>
        <v>Cedrick</v>
      </c>
      <c t="str" s="76" r="C31">
        <f>HYPERLINK("http://sofifa.com/en/fifa13winter/player/148964-lacina-traore","L. Traoré")</f>
        <v>L. Traoré</v>
      </c>
      <c t="str" s="76" r="D31">
        <f>HYPERLINK("http://sofifa.com/en/fifa13winter/player/148498-giovani-dos-santos","G. dos Santos")</f>
        <v>G. dos Santos</v>
      </c>
      <c t="str" s="76" r="E31">
        <f>HYPERLINK("http://sofifa.com/en/fifa13winter/player/143421-juan-carlos-valeron-santana","Valerón")</f>
        <v>Valerón</v>
      </c>
      <c t="str" s="76" r="F31">
        <f>HYPERLINK("http://sofifa.com/en/fifa13winter/player/146458-jelle-van-damme","J. Van Damme")</f>
        <v>J. Van Damme</v>
      </c>
      <c t="str" s="76" r="G31">
        <f>HYPERLINK("http://sofifa.com/en/fifa13winter/player/146393-robin-van-persie","R. van Persie")</f>
        <v>R. van Persie</v>
      </c>
      <c s="52" r="H31"/>
      <c t="str" s="76" r="I31">
        <f>HYPERLINK("http://sofifa.com/en/fifa13winter/player/145160-ronaldo-de-assis-moreira","Ronaldinho")</f>
        <v>Ronaldinho</v>
      </c>
      <c s="52" r="J31"/>
      <c t="str" s="76" r="K31">
        <f>HYPERLINK("http://sofifa.com/en/fifa13winter/player/146806-thiago-emiliano-da-silva","Thiago Silva")</f>
        <v>Thiago Silva</v>
      </c>
      <c t="str" s="76" r="L31">
        <f>HYPERLINK("http://sofifa.com/en/fifa13winter/player/147344-corey-ashe","C. Ashe")</f>
        <v>C. Ashe</v>
      </c>
      <c t="str" s="76" r="M31">
        <f>HYPERLINK("http://sofifa.com/en/fifa13winter/player/145811-adilson-tibes-granemann","Adilson")</f>
        <v>Adilson</v>
      </c>
      <c s="52" r="N31"/>
    </row>
    <row r="32">
      <c s="52" r="A32"/>
      <c t="str" s="76" r="B32">
        <f>HYPERLINK("http://sofifa.com/en/fifa13winter/player/149328-cristian-tello-herrera","Cristian Tello")</f>
        <v>Cristian Tello</v>
      </c>
      <c t="str" s="76" r="C32">
        <f>HYPERLINK("http://sofifa.com/en/fifa13winter/player/148352-mats-hummels","M. Hummels")</f>
        <v>M. Hummels</v>
      </c>
      <c t="str" s="76" r="D32">
        <f>HYPERLINK("http://sofifa.com/en/fifa13winter/player/147702-hatem-ben-arfa","H. Ben Arfa")</f>
        <v>H. Ben Arfa</v>
      </c>
      <c t="str" s="76" r="E32">
        <f>HYPERLINK("http://sofifa.com/en/fifa13winter/player/146300-joan-verdu-fernandez","Verdú")</f>
        <v>Verdú</v>
      </c>
      <c t="str" s="76" r="F32">
        <f>HYPERLINK("http://sofifa.com/en/fifa13winter/player/147522-joao-filipe-moutinho","João Moutinho")</f>
        <v>João Moutinho</v>
      </c>
      <c t="str" s="76" r="G32">
        <f>HYPERLINK("http://sofifa.com/en/fifa13winter/player/147402-ronny-heberson-furtado-de-araujo","Ronny")</f>
        <v>Ronny</v>
      </c>
      <c s="52" r="H32"/>
      <c t="str" s="76" r="I32">
        <f>HYPERLINK("http://sofifa.com/en/fifa13winter/player/147402-ronny-heberson-furtado-de-araujo","Ronny")</f>
        <v>Ronny</v>
      </c>
      <c s="52" r="J32"/>
      <c t="str" s="76" r="K32">
        <f>HYPERLINK("http://sofifa.com/en/fifa13winter/player/147371-vincent-kompany","V. Kompany")</f>
        <v>V. Kompany</v>
      </c>
      <c t="str" s="76" r="L32">
        <f>HYPERLINK("http://sofifa.com/en/fifa13winter/player/146723-chaouki-ben-saada","C. Ben Saada")</f>
        <v>C. Ben Saada</v>
      </c>
      <c t="str" s="76" r="M32">
        <f>HYPERLINK("http://sofifa.com/en/fifa13winter/player/145069-ailson-alves-carreiro","Ailson")</f>
        <v>Ailson</v>
      </c>
      <c s="52" r="N32"/>
    </row>
    <row r="33">
      <c s="52" r="A33"/>
      <c t="str" s="76" r="B33">
        <f>HYPERLINK("http://sofifa.com/en/fifa13winter/player/146942-c-ronaldo-dos-santos-aveiro","Cristiano Ronaldo")</f>
        <v>Cristiano Ronaldo</v>
      </c>
      <c t="str" s="76" r="C33">
        <f>HYPERLINK("http://sofifa.com/en/fifa13winter/player/146351-marc-janko","M. Janko")</f>
        <v>M. Janko</v>
      </c>
      <c t="str" s="76" r="D33">
        <f>HYPERLINK("http://sofifa.com/en/fifa13winter/player/149029-ilkay-gundogan","I. Gündoğan")</f>
        <v>I. Gündoğan</v>
      </c>
      <c t="str" s="76" r="E33">
        <f>HYPERLINK("http://sofifa.com/en/fifa13winter/player/146701-wesley-sneijder","W. Sneijder")</f>
        <v>W. Sneijder</v>
      </c>
      <c t="str" s="76" r="F33">
        <f>HYPERLINK("http://sofifa.com/en/fifa13winter/player/148345-kwadwo-asamoah","K. Asamoah")</f>
        <v>K. Asamoah</v>
      </c>
      <c t="str" s="76" r="G33">
        <f>HYPERLINK("http://sofifa.com/en/fifa13winter/player/145369-sergio-da-silva-pinto","S. da Silva Pinto")</f>
        <v>S. da Silva Pinto</v>
      </c>
      <c s="52" r="H33"/>
      <c t="str" s="76" r="I33">
        <f>HYPERLINK("http://sofifa.com/en/fifa13winter/player/144764-ruben-suarez-estrada","Rubén Suárez")</f>
        <v>Rubén Suárez</v>
      </c>
      <c s="52" r="J33"/>
      <c t="str" s="76" r="K33">
        <f>HYPERLINK("http://sofifa.com/en/fifa13winter/player/146961-william-kvist","W. Kvist")</f>
        <v>W. Kvist</v>
      </c>
      <c t="str" s="76" r="L33">
        <f>HYPERLINK("http://sofifa.com/en/fifa13winter/player/147752-christian-bermudez","C. Bermúdez")</f>
        <v>C. Bermúdez</v>
      </c>
      <c t="str" s="76" r="M33">
        <f>HYPERLINK("http://sofifa.com/en/fifa13winter/player/148012-aislan-paulo-lotici-back","Aislan")</f>
        <v>Aislan</v>
      </c>
      <c s="21" r="N33"/>
    </row>
    <row r="34">
      <c s="52" r="A34"/>
      <c t="str" s="76" r="B34">
        <f>HYPERLINK("http://sofifa.com/en/fifa13winter/player/147401-david-abwo","D. Abwo")</f>
        <v>D. Abwo</v>
      </c>
      <c t="str" s="76" r="C34">
        <f>HYPERLINK("http://sofifa.com/en/fifa13winter/player/144509-miroslav-klose","M. Klose")</f>
        <v>M. Klose</v>
      </c>
      <c t="str" s="76" r="D34">
        <f>HYPERLINK("http://sofifa.com/en/fifa13winter/player/148113-ibrahima-traore","I. Traoré")</f>
        <v>I. Traoré</v>
      </c>
      <c t="str" s="76" r="E34">
        <f>HYPERLINK("http://sofifa.com/en/fifa13winter/player/145774-xabier-alonso-olano","Xabi Alonso")</f>
        <v>Xabi Alonso</v>
      </c>
      <c t="str" s="76" r="F34">
        <f>HYPERLINK("http://sofifa.com/en/fifa13winter/player/147701-kevin-prince-boateng","K. Boateng")</f>
        <v>K. Boateng</v>
      </c>
      <c t="str" s="76" r="G34">
        <f>HYPERLINK("http://sofifa.com/en/fifa13winter/player/145230-steven-gerrard","S. Gerrard")</f>
        <v>S. Gerrard</v>
      </c>
      <c s="52" r="H34"/>
      <c t="str" s="76" r="I34">
        <f>HYPERLINK("http://sofifa.com/en/fifa13winter/player/147662-sebastian-giovinco","S. Giovinco")</f>
        <v>S. Giovinco</v>
      </c>
      <c s="52" r="J34"/>
      <c t="str" s="76" r="K34">
        <f>HYPERLINK("http://sofifa.com/en/fifa13winter/player/144431-walter-samuel","W. Samuel")</f>
        <v>W. Samuel</v>
      </c>
      <c t="str" s="76" r="L34">
        <f>HYPERLINK("http://sofifa.com/en/fifa13winter/player/149188-cristian-galano","C. Galano")</f>
        <v>C. Galano</v>
      </c>
      <c t="str" s="76" r="M34">
        <f>HYPERLINK("http://sofifa.com/en/fifa13winter/player/144036-aitor-blanco-aldeano","Aitor Blanco")</f>
        <v>Aitor Blanco</v>
      </c>
      <c s="21" r="N34"/>
    </row>
    <row r="35">
      <c s="52" r="A35"/>
      <c t="str" s="76" r="B35">
        <f>HYPERLINK("http://sofifa.com/en/fifa13winter/player/149003-david-accam","D. Accam")</f>
        <v>D. Accam</v>
      </c>
      <c t="str" s="76" r="C35">
        <f>HYPERLINK("http://sofifa.com/en/fifa13winter/player/147412-mario-mandzukic","M. Mandžukić")</f>
        <v>M. Mandžukić</v>
      </c>
      <c t="str" s="76" r="D35">
        <f>HYPERLINK("http://sofifa.com/en/fifa13winter/player/146672-andres-iniesta-lujan","Iniesta")</f>
        <v>Iniesta</v>
      </c>
      <c t="str" s="76" r="E35">
        <f>HYPERLINK("http://sofifa.com/en/fifa13winter/player/145104-xavier-hernandez-creus","Xavi")</f>
        <v>Xavi</v>
      </c>
      <c t="str" s="76" r="F35">
        <f>HYPERLINK("http://sofifa.com/en/fifa13winter/player/148202-kevin-grosskreutz","K. Großkreutz")</f>
        <v>K. Großkreutz</v>
      </c>
      <c t="str" s="76" r="G35">
        <f>HYPERLINK("http://sofifa.com/en/fifa13winter/player/146822-sejad-salihovic","S. Salihović")</f>
        <v>S. Salihović</v>
      </c>
      <c s="52" r="H35"/>
      <c t="str" s="76" r="I35">
        <f>HYPERLINK("http://sofifa.com/en/fifa13winter/player/146947-selcuk-inan","S. İnan")</f>
        <v>S. İnan</v>
      </c>
      <c s="52" r="J35"/>
      <c t="str" s="76" r="K35">
        <f>HYPERLINK("http://sofifa.com/en/fifa13winter/player/145774-xabier-alonso-olano","Xabi Alonso")</f>
        <v>Xabi Alonso</v>
      </c>
      <c t="str" s="76" r="L35">
        <f>HYPERLINK("http://sofifa.com/en/fifa13winter/player/147898-chris-humphrey","C. Humphrey")</f>
        <v>C. Humphrey</v>
      </c>
      <c t="str" s="76" r="M35">
        <f>HYPERLINK("http://sofifa.com/en/fifa13winter/player/148445-pedro-alcala-guirado","Alcalá")</f>
        <v>Alcalá</v>
      </c>
      <c s="21" r="N35"/>
    </row>
    <row r="36">
      <c s="52" r="A36"/>
      <c t="str" s="76" r="B36">
        <f>HYPERLINK("http://sofifa.com/en/fifa13winter/player/148660-dennis-diekmeier","D. Diekmeier")</f>
        <v>D. Diekmeier</v>
      </c>
      <c t="str" s="76" r="C36">
        <f>HYPERLINK("http://sofifa.com/en/fifa13winter/player/145949-malte-metzelder","M. Metzelder")</f>
        <v>M. Metzelder</v>
      </c>
      <c t="str" s="76" r="D36">
        <f>HYPERLINK("http://sofifa.com/en/fifa13winter/player/149574-francisco-roman-alarcon-suarez","Isco")</f>
        <v>Isco</v>
      </c>
      <c t="str" s="76" r="E36">
        <f>HYPERLINK("http://sofifa.com/en/fifa13winter/player/147463-yoann-gourcuff","Y. Gourcuff")</f>
        <v>Y. Gourcuff</v>
      </c>
      <c t="str" s="76" r="F36">
        <f>HYPERLINK("http://sofifa.com/en/fifa13winter/player/148776-kevin-strootman","K. Strootman")</f>
        <v>K. Strootman</v>
      </c>
      <c t="str" s="76" r="G36">
        <f>HYPERLINK("http://sofifa.com/en/fifa13winter/player/148736-toni-kroos","T. Kroos")</f>
        <v>T. Kroos</v>
      </c>
      <c s="52" r="H36"/>
      <c t="str" s="76" r="I36">
        <f>HYPERLINK("http://sofifa.com/en/fifa13winter/player/147063-sebastian-larsson","S. Larsson")</f>
        <v>S. Larsson</v>
      </c>
      <c s="52" r="J36"/>
      <c t="str" s="76" r="K36">
        <f>HYPERLINK("http://sofifa.com/en/fifa13winter/player/148912-yann-mvila","Y. M'Vila")</f>
        <v>Y. M'Vila</v>
      </c>
      <c t="str" s="76" r="L36">
        <f>HYPERLINK("http://sofifa.com/en/fifa13winter/player/148856-christoph-kropfl","C. Kröpfl")</f>
        <v>C. Kröpfl</v>
      </c>
      <c t="str" s="76" r="M36">
        <f>HYPERLINK("http://sofifa.com/en/fifa13winter/player/147466-rafael-berger","Alemão")</f>
        <v>Alemão</v>
      </c>
      <c s="21" r="N36"/>
    </row>
    <row r="37">
      <c s="52" r="A37"/>
      <c t="str" s="76" r="B37">
        <f>HYPERLINK("http://sofifa.com/en/fifa13winter/player/148778-dejan-lazarevic","D. Lazarevic")</f>
        <v>D. Lazarevic</v>
      </c>
      <c t="str" s="76" r="C37">
        <f>HYPERLINK("http://sofifa.com/en/fifa13winter/player/146706-mathias-ranegie","M. Ranégie")</f>
        <v>M. Ranégie</v>
      </c>
      <c t="str" s="76" r="D37">
        <f>HYPERLINK("http://sofifa.com/en/fifa13winter/player/148148-juan-cuadrado","J. Cuadrado")</f>
        <v>J. Cuadrado</v>
      </c>
      <c s="52" r="E37"/>
      <c t="str" s="76" r="F37">
        <f>HYPERLINK("http://sofifa.com/en/fifa13winter/player/148484-lars-bender","L. Bender")</f>
        <v>L. Bender</v>
      </c>
      <c t="str" s="76" r="G37">
        <f>HYPERLINK("http://sofifa.com/en/fifa13winter/player/147203-wayne-rooney","W. Rooney")</f>
        <v>W. Rooney</v>
      </c>
      <c s="52" r="H37"/>
      <c t="str" s="76" r="I37">
        <f>HYPERLINK("http://sofifa.com/en/fifa13winter/player/146822-sejad-salihovic","S. Salihović")</f>
        <v>S. Salihović</v>
      </c>
      <c s="52" r="J37"/>
      <c s="52" r="K37"/>
      <c t="str" s="76" r="L37">
        <f>HYPERLINK("http://sofifa.com/en/fifa13winter/player/147010-christoph-leitgeb","C. Leitgeb")</f>
        <v>C. Leitgeb</v>
      </c>
      <c t="str" s="76" r="M37">
        <f>HYPERLINK("http://sofifa.com/en/fifa13winter/player/145978-alex-rodrigo-dias-da-costa","Alex")</f>
        <v>Alex</v>
      </c>
      <c s="21" r="N37"/>
    </row>
    <row r="38">
      <c s="52" r="A38"/>
      <c t="str" s="76" r="B38">
        <f>HYPERLINK("http://sofifa.com/en/fifa13winter/player/148977-darren-mattocks","D. Mattocks")</f>
        <v>D. Mattocks</v>
      </c>
      <c t="str" s="76" r="C38">
        <f>HYPERLINK("http://sofifa.com/en/fifa13winter/player/145614-marco-streller","M. Streller")</f>
        <v>M. Streller</v>
      </c>
      <c t="str" s="76" r="D38">
        <f>HYPERLINK("http://sofifa.com/en/fifa13winter/player/146840-jefferson-farfan","J. Farfán")</f>
        <v>J. Farfán</v>
      </c>
      <c s="52" r="E38"/>
      <c t="str" s="76" r="F38">
        <f>HYPERLINK("http://sofifa.com/en/fifa13winter/player/148737-leroy-fer","L. Fer")</f>
        <v>L. Fer</v>
      </c>
      <c t="str" s="76" r="G38">
        <f>HYPERLINK("http://sofifa.com/en/fifa13winter/player/145721-zlatan-ibrahimovic","Z. Ibrahimović")</f>
        <v>Z. Ibrahimović</v>
      </c>
      <c s="52" r="H38"/>
      <c t="str" s="76" r="I38">
        <f>HYPERLINK("http://sofifa.com/en/fifa13winter/player/146888-santiago-cazorla-gonzalez","Santi Cazorla")</f>
        <v>Santi Cazorla</v>
      </c>
      <c s="21" r="J38"/>
      <c s="52" r="K38"/>
      <c t="str" s="76" r="L38">
        <f>HYPERLINK("http://sofifa.com/en/fifa13winter/player/147897-carlos-darwin-quintero","C. Quintero")</f>
        <v>C. Quintero</v>
      </c>
      <c t="str" s="76" r="M38">
        <f>HYPERLINK("http://sofifa.com/en/fifa13winter/player/149320-alejandro-perez-navarro","Álex Pérez")</f>
        <v>Álex Pérez</v>
      </c>
      <c s="21" r="N38"/>
    </row>
    <row r="39">
      <c s="52" r="A39"/>
      <c t="str" s="76" r="B39">
        <f>HYPERLINK("http://sofifa.com/en/fifa13winter/player/149950-dolly-menga","D. Menga")</f>
        <v>D. Menga</v>
      </c>
      <c t="str" s="76" r="C39">
        <f>HYPERLINK("http://sofifa.com/en/fifa13winter/player/145027-martin-taylor","M. Taylor")</f>
        <v>M. Taylor</v>
      </c>
      <c t="str" s="76" r="D39">
        <f>HYPERLINK("http://sofifa.com/en/fifa13winter/player/147231-jesus-navas-gonzalez","Jesús Navas")</f>
        <v>Jesús Navas</v>
      </c>
      <c s="52" r="E39"/>
      <c t="str" s="76" r="F39">
        <f>HYPERLINK("http://sofifa.com/en/fifa13winter/player/148993-lewis-holtby","L. Holtby")</f>
        <v>L. Holtby</v>
      </c>
      <c t="str" s="76" r="G39">
        <f>HYPERLINK("http://sofifa.com/en/fifa13winter/player/147901-zdravko-kuzmanovic","Z. Kuzmanović")</f>
        <v>Z. Kuzmanović</v>
      </c>
      <c s="52" r="H39"/>
      <c t="str" s="76" r="I39">
        <f>HYPERLINK("http://sofifa.com/en/fifa13winter/player/146701-wesley-sneijder","W. Sneijder")</f>
        <v>W. Sneijder</v>
      </c>
      <c s="21" r="J39"/>
      <c s="52" r="K39"/>
      <c t="str" s="76" r="L39">
        <f>HYPERLINK("http://sofifa.com/en/fifa13winter/player/149059-christopher-quiring","C. Quiring")</f>
        <v>C. Quiring</v>
      </c>
      <c t="str" s="76" r="M39">
        <f>HYPERLINK("http://sofifa.com/en/fifa13winter/player/146326-antonio-amaya-carazo","Amaya")</f>
        <v>Amaya</v>
      </c>
      <c s="21" r="N39"/>
    </row>
    <row r="40">
      <c s="52" r="A40"/>
      <c t="str" s="76" r="B40">
        <f>HYPERLINK("http://sofifa.com/en/fifa13winter/player/147131-dominic-oduro","D. Oduro")</f>
        <v>D. Oduro</v>
      </c>
      <c t="str" s="76" r="C40">
        <f>HYPERLINK("http://sofifa.com/en/fifa13winter/player/145739-nemanja-vidic","N. Vidić")</f>
        <v>N. Vidić</v>
      </c>
      <c t="str" s="76" r="D40">
        <f>HYPERLINK("http://sofifa.com/en/fifa13winter/player/148120-juan-manuel-mata-garcia","Juan Mata")</f>
        <v>Juan Mata</v>
      </c>
      <c s="52" r="E40"/>
      <c t="str" s="76" r="F40">
        <f>HYPERLINK("http://sofifa.com/en/fifa13winter/player/147430-lex-immers","L. Immers")</f>
        <v>L. Immers</v>
      </c>
      <c s="52" r="G40"/>
      <c s="52" r="H40"/>
      <c t="str" s="76" r="I40">
        <f>HYPERLINK("http://sofifa.com/en/fifa13winter/player/145104-xavier-hernandez-creus","Xavi")</f>
        <v>Xavi</v>
      </c>
      <c s="21" r="J40"/>
      <c s="52" r="K40"/>
      <c t="str" s="76" r="L40">
        <f>HYPERLINK("http://sofifa.com/en/fifa13winter/player/149195-cameron-stewart","C. Stewart")</f>
        <v>C. Stewart</v>
      </c>
      <c t="str" s="76" r="M40">
        <f>HYPERLINK("http://sofifa.com/en/fifa13winter/player/146994-fernando-amorebieta-mardaras","Amorebieta")</f>
        <v>Amorebieta</v>
      </c>
      <c s="21" r="N40"/>
    </row>
    <row r="41">
      <c s="52" r="A41"/>
      <c t="str" s="76" r="B41">
        <f>HYPERLINK("http://sofifa.com/en/fifa13winter/player/146939-dennis-oliech","D. Oliech")</f>
        <v>D. Oliech</v>
      </c>
      <c t="str" s="76" r="C41">
        <f>HYPERLINK("http://sofifa.com/en/fifa13winter/player/145348-nikola-zigic","N. Žigić")</f>
        <v>N. Žigić</v>
      </c>
      <c t="str" s="76" r="D41">
        <f>HYPERLINK("http://sofifa.com/en/fifa13winter/player/147451-jose-manuel-jurado-marin","Jurado")</f>
        <v>Jurado</v>
      </c>
      <c s="52" r="E41"/>
      <c t="str" s="76" r="F41">
        <f>HYPERLINK("http://sofifa.com/en/fifa13winter/player/147060-lukasz-piszczek","L. Piszczek")</f>
        <v>L. Piszczek</v>
      </c>
      <c s="52" r="G41"/>
      <c s="52" r="H41"/>
      <c s="52" r="I41"/>
      <c s="52" r="J41"/>
      <c s="52" r="K41"/>
      <c t="str" s="76" r="L41">
        <f>HYPERLINK("http://sofifa.com/en/fifa13winter/player/147675-chul-soon-choi","Choi Chul Soon")</f>
        <v>Choi Chul Soon</v>
      </c>
      <c t="str" s="76" r="M41">
        <f>HYPERLINK("http://sofifa.com/en/fifa13winter/player/146004-jon-ansotegi-gorostola","Ansotegi")</f>
        <v>Ansotegi</v>
      </c>
      <c s="21" r="N41"/>
    </row>
    <row r="42">
      <c s="52" r="A42"/>
      <c t="str" s="76" r="B42">
        <f>HYPERLINK("http://sofifa.com/en/fifa13winter/player/149168-daniel-powell","D. Powell")</f>
        <v>D. Powell</v>
      </c>
      <c t="str" s="76" r="C42">
        <f>HYPERLINK("http://sofifa.com/en/fifa13winter/player/146063-ronaldo-aparecido-rodrigues","Naldo")</f>
        <v>Naldo</v>
      </c>
      <c t="str" s="76" r="D42">
        <f>HYPERLINK("http://sofifa.com/en/fifa13winter/player/149252-lorenzo-insigne","L. Insigne")</f>
        <v>L. Insigne</v>
      </c>
      <c s="52" r="E42"/>
      <c t="str" s="76" r="F42">
        <f>HYPERLINK("http://sofifa.com/en/fifa13winter/player/147833-moussa-dembele","M. Dembélé")</f>
        <v>M. Dembélé</v>
      </c>
      <c s="52" r="G42"/>
      <c s="52" r="H42"/>
      <c s="52" r="I42"/>
      <c s="52" r="J42"/>
      <c s="52" r="K42"/>
      <c t="str" s="76" r="L42">
        <f>HYPERLINK("http://sofifa.com/en/fifa13winter/player/146405-hyo-jin-choi","Choi Hyo Jin")</f>
        <v>Choi Hyo Jin</v>
      </c>
      <c t="str" s="76" r="M42">
        <f>HYPERLINK("http://sofifa.com/en/fifa13winter/player/146891-armando-lozano-sanchez","Armando")</f>
        <v>Armando</v>
      </c>
      <c s="21" r="N42"/>
    </row>
    <row r="43">
      <c s="52" r="A43"/>
      <c t="str" s="76" r="B43">
        <f>HYPERLINK("http://sofifa.com/en/fifa13winter/player/149361-daniele-ragatzu","D. Ragatzu")</f>
        <v>D. Ragatzu</v>
      </c>
      <c t="str" s="76" r="C43">
        <f>HYPERLINK("http://sofifa.com/en/fifa13winter/player/148286-omar-gonzalez","O. Gonzalez")</f>
        <v>O. Gonzalez</v>
      </c>
      <c t="str" s="76" r="D43">
        <f>HYPERLINK("http://sofifa.com/en/fifa13winter/player/147811-lionel-messi","L. Messi")</f>
        <v>L. Messi</v>
      </c>
      <c s="52" r="E43"/>
      <c t="str" s="76" r="F43">
        <f>HYPERLINK("http://sofifa.com/en/fifa13winter/player/149669-markus-henriksen","M. Henriksen")</f>
        <v>M. Henriksen</v>
      </c>
      <c s="52" r="G43"/>
      <c s="52" r="H43"/>
      <c s="52" r="I43"/>
      <c s="52" r="J43"/>
      <c s="52" r="K43"/>
      <c t="str" s="76" r="L43">
        <f>HYPERLINK("http://sofifa.com/en/fifa13winter/player/147487-alex-sandro-mendonca-dos-santos","Cicinho")</f>
        <v>Cicinho</v>
      </c>
      <c t="str" s="76" r="M43">
        <f>HYPERLINK("http://sofifa.com/en/fifa13winter/player/146200-gorka-azkorra-trueba","Azkorra")</f>
        <v>Azkorra</v>
      </c>
      <c s="21" r="N43"/>
    </row>
    <row r="44">
      <c s="52" r="A44"/>
      <c t="str" s="76" r="B44">
        <f>HYPERLINK("http://sofifa.com/en/fifa13winter/player/150265-gerard-deulofeu-lazaro","Deulofeu")</f>
        <v>Deulofeu</v>
      </c>
      <c t="str" s="76" r="C44">
        <f>HYPERLINK("http://sofifa.com/en/fifa13winter/player/147455-ola-toivonen","O. Toivonen")</f>
        <v>O. Toivonen</v>
      </c>
      <c t="str" s="76" r="D44">
        <f>HYPERLINK("http://sofifa.com/en/fifa13winter/player/149205-luis-muriel","L. Muriel")</f>
        <v>L. Muriel</v>
      </c>
      <c s="52" r="E44"/>
      <c t="str" s="76" r="F44">
        <f>HYPERLINK("http://sofifa.com/en/fifa13winter/player/148626-marco-hoger","M. Höger")</f>
        <v>M. Höger</v>
      </c>
      <c s="52" r="G44"/>
      <c s="52" r="H44"/>
      <c s="52" r="I44"/>
      <c s="52" r="J44"/>
      <c s="52" r="K44"/>
      <c t="str" s="76" r="L44">
        <f>HYPERLINK("http://sofifa.com/en/fifa13winter/player/149626-philippe-coutinho-correia","Coutinho")</f>
        <v>Coutinho</v>
      </c>
      <c t="str" s="76" r="M44">
        <f>HYPERLINK("http://sofifa.com/en/fifa13winter/player/148027-blazej-augustyn","B. Augustyn")</f>
        <v>B. Augustyn</v>
      </c>
      <c s="21" r="N44"/>
    </row>
    <row r="45">
      <c s="52" r="A45"/>
      <c t="str" s="76" r="B45">
        <f>HYPERLINK("http://sofifa.com/en/fifa13winter/player/147680-eljero-elia","E. Elia")</f>
        <v>E. Elia</v>
      </c>
      <c t="str" s="76" r="C45">
        <f>HYPERLINK("http://sofifa.com/en/fifa13winter/player/145475-peter-crouch","P. Crouch")</f>
        <v>P. Crouch</v>
      </c>
      <c t="str" s="76" r="D45">
        <f>HYPERLINK("http://sofifa.com/en/fifa13winter/player/147660-luis-suarez","L. Suárez")</f>
        <v>L. Suárez</v>
      </c>
      <c s="52" r="E45"/>
      <c t="str" s="76" r="F45">
        <f>HYPERLINK("http://sofifa.com/en/fifa13winter/player/148165-mauricio-isla","M. Isla")</f>
        <v>M. Isla</v>
      </c>
      <c s="52" r="G45"/>
      <c s="52" r="H45"/>
      <c s="52" r="I45"/>
      <c s="52" r="J45"/>
      <c s="52" r="K45"/>
      <c t="str" s="76" r="L45">
        <f>HYPERLINK("http://sofifa.com/en/fifa13winter/player/146942-c-ronaldo-dos-santos-aveiro","Cristiano Ronaldo")</f>
        <v>Cristiano Ronaldo</v>
      </c>
      <c t="str" s="76" r="M45">
        <f>HYPERLINK("http://sofifa.com/en/fifa13winter/player/146000-bostjan-cesar","B. Cesar")</f>
        <v>B. Cesar</v>
      </c>
      <c s="21" r="N45"/>
    </row>
    <row r="46">
      <c s="52" r="A46"/>
      <c t="str" s="76" r="B46">
        <f>HYPERLINK("http://sofifa.com/en/fifa13winter/player/149041-erik-hurtado","E. Hurtado")</f>
        <v>E. Hurtado</v>
      </c>
      <c t="str" s="76" r="C46">
        <f>HYPERLINK("http://sofifa.com/en/fifa13winter/player/144387-peter-kovacs","P. Kovács")</f>
        <v>P. Kovács</v>
      </c>
      <c t="str" s="76" r="D46">
        <f>HYPERLINK("http://sofifa.com/en/fifa13winter/player/149688-lucas-rodrigues-m-silva","Lucas")</f>
        <v>Lucas</v>
      </c>
      <c s="52" r="E46"/>
      <c t="str" s="76" r="F46">
        <f>HYPERLINK("http://sofifa.com/en/fifa13winter/player/148488-may-mahlangu","M. Mahlangu")</f>
        <v>M. Mahlangu</v>
      </c>
      <c s="52" r="G46"/>
      <c s="52" r="H46"/>
      <c s="52" r="I46"/>
      <c s="52" r="J46"/>
      <c s="52" r="K46"/>
      <c t="str" s="76" r="L46">
        <f>HYPERLINK("http://sofifa.com/en/fifa13winter/player/147401-david-abwo","D. Abwo")</f>
        <v>D. Abwo</v>
      </c>
      <c t="str" s="76" r="M46">
        <f>HYPERLINK("http://sofifa.com/en/fifa13winter/player/146083-ben-chorley","B. Chorley")</f>
        <v>B. Chorley</v>
      </c>
      <c s="21" r="N46"/>
    </row>
    <row r="47">
      <c s="52" r="A47"/>
      <c t="str" s="76" r="B47">
        <f>HYPERLINK("http://sofifa.com/en/fifa13winter/player/148351-erling-knudtzon","E. Knudtzon")</f>
        <v>E. Knudtzon</v>
      </c>
      <c t="str" s="76" r="C47">
        <f>HYPERLINK("http://sofifa.com/en/fifa13winter/player/146813-per-mertesacker","P. Mertesacker")</f>
        <v>P. Mertesacker</v>
      </c>
      <c t="str" s="76" r="D47">
        <f>HYPERLINK("http://sofifa.com/en/fifa13winter/player/146768-mbark-boussoufa","M. Boussoufa")</f>
        <v>M. Boussoufa</v>
      </c>
      <c s="52" r="E47"/>
      <c t="str" s="76" r="F47">
        <f>HYPERLINK("http://sofifa.com/en/fifa13winter/player/147764-mark-noble","M. Noble")</f>
        <v>M. Noble</v>
      </c>
      <c s="52" r="G47"/>
      <c s="52" r="H47"/>
      <c s="52" r="I47"/>
      <c s="52" r="J47"/>
      <c s="52" r="K47"/>
      <c t="str" s="76" r="L47">
        <f>HYPERLINK("http://sofifa.com/en/fifa13winter/player/149638-david-alaba","D. Alaba")</f>
        <v>D. Alaba</v>
      </c>
      <c t="str" s="76" r="M47">
        <f>HYPERLINK("http://sofifa.com/en/fifa13winter/player/147669-bright-dike","B. Dike")</f>
        <v>B. Dike</v>
      </c>
      <c s="21" r="N47"/>
    </row>
    <row r="48">
      <c s="52" r="A48"/>
      <c t="str" s="76" r="B48">
        <f>HYPERLINK("http://sofifa.com/en/fifa13winter/player/149057-emmanuel-mayuka","E. Mayuka")</f>
        <v>E. Mayuka</v>
      </c>
      <c t="str" s="76" r="C48">
        <f>HYPERLINK("http://sofifa.com/en/fifa13winter/player/146462-renato-civelli","R. Civelli")</f>
        <v>R. Civelli</v>
      </c>
      <c t="str" s="76" r="D48">
        <f>HYPERLINK("http://sofifa.com/en/fifa13winter/player/147833-moussa-dembele","M. Dembélé")</f>
        <v>M. Dembélé</v>
      </c>
      <c s="52" r="E48"/>
      <c t="str" s="76" r="F48">
        <f>HYPERLINK("http://sofifa.com/en/fifa13winter/player/148938-mubarak-wakaso","M. Wakaso")</f>
        <v>M. Wakaso</v>
      </c>
      <c s="52" r="G48"/>
      <c s="52" r="H48"/>
      <c s="52" r="I48"/>
      <c s="52" r="J48"/>
      <c s="52" r="K48"/>
      <c t="str" s="76" r="L48">
        <f>HYPERLINK("http://sofifa.com/en/fifa13winter/player/148111-diego-mario-buonanotte","D. Buonanotte")</f>
        <v>D. Buonanotte</v>
      </c>
      <c t="str" s="76" r="M48">
        <f>HYPERLINK("http://sofifa.com/en/fifa13winter/player/145897-bjarni-olafur-eiriksson","B. Eiríksson")</f>
        <v>B. Eiríksson</v>
      </c>
      <c s="21" r="N48"/>
    </row>
    <row r="49">
      <c s="52" r="A49"/>
      <c t="str" s="76" r="B49">
        <f>HYPERLINK("http://sofifa.com/en/fifa13winter/player/148288-enrique-perez","E. Pérez")</f>
        <v>E. Pérez</v>
      </c>
      <c t="str" s="76" r="C49">
        <f>HYPERLINK("http://sofifa.com/en/fifa13winter/player/144660-rio-ferdinand","R. Ferdinand")</f>
        <v>R. Ferdinand</v>
      </c>
      <c t="str" s="76" r="D49">
        <f>HYPERLINK("http://sofifa.com/en/fifa13winter/player/149617-mario-gotze","M. Götze")</f>
        <v>M. Götze</v>
      </c>
      <c s="52" r="E49"/>
      <c t="str" s="76" r="F49">
        <f>HYPERLINK("http://sofifa.com/en/fifa13winter/player/148640-emilio-nsue-lopez","Nsue")</f>
        <v>Nsue</v>
      </c>
      <c s="52" r="G49"/>
      <c s="52" r="H49"/>
      <c s="52" r="I49"/>
      <c s="52" r="J49"/>
      <c s="52" r="K49"/>
      <c t="str" s="76" r="L49">
        <f>HYPERLINK("http://sofifa.com/en/fifa13winter/player/146545-diego-gomez","D. Gómez")</f>
        <v>D. Gómez</v>
      </c>
      <c t="str" s="76" r="M49">
        <f>HYPERLINK("http://sofifa.com/en/fifa13winter/player/148559-bernardo-espinosa","B. Espinosa")</f>
        <v>B. Espinosa</v>
      </c>
      <c s="21" r="N49"/>
    </row>
    <row r="50">
      <c s="52" r="A50"/>
      <c t="str" s="76" r="B50">
        <f>HYPERLINK("http://sofifa.com/en/fifa13winter/player/146251-emanuel-rivas","E. Rivas")</f>
        <v>E. Rivas</v>
      </c>
      <c t="str" s="76" r="C50">
        <f>HYPERLINK("http://sofifa.com/en/fifa13winter/player/145468-rob-friend","R. Friend")</f>
        <v>R. Friend</v>
      </c>
      <c t="str" s="76" r="D50">
        <f>HYPERLINK("http://sofifa.com/en/fifa13winter/player/148074-marko-marin","M. Marin")</f>
        <v>M. Marin</v>
      </c>
      <c s="52" r="E50"/>
      <c t="str" s="76" r="F50">
        <f>HYPERLINK("http://sofifa.com/en/fifa13winter/player/149642-oscar-hiljemark","O. Hiljemark")</f>
        <v>O. Hiljemark</v>
      </c>
      <c s="52" r="G50"/>
      <c s="52" r="H50"/>
      <c s="52" r="I50"/>
      <c s="52" r="J50"/>
      <c s="52" r="K50"/>
      <c t="str" s="76" r="L50">
        <f>HYPERLINK("http://sofifa.com/en/fifa13winter/player/148008-daniel-halfar","D. Halfar")</f>
        <v>D. Halfar</v>
      </c>
      <c t="str" s="76" r="M50">
        <f>HYPERLINK("http://sofifa.com/en/fifa13winter/player/145616-brede-hangeland","B. Hangeland")</f>
        <v>B. Hangeland</v>
      </c>
      <c s="21" r="N50"/>
    </row>
    <row r="51">
      <c s="52" r="A51"/>
      <c t="str" s="76" r="B51">
        <f>HYPERLINK("http://sofifa.com/en/fifa13winter/player/148691-eduardo-vargas","E. Vargas")</f>
        <v>E. Vargas</v>
      </c>
      <c t="str" s="76" r="C51">
        <f>HYPERLINK("http://sofifa.com/en/fifa13winter/player/145021-rob-jones","R. Jones")</f>
        <v>R. Jones</v>
      </c>
      <c t="str" s="76" r="D51">
        <f>HYPERLINK("http://sofifa.com/en/fifa13winter/player/147694-maximiliano-moralez","M. Moralez")</f>
        <v>M. Moralez</v>
      </c>
      <c s="21" r="E51"/>
      <c t="str" s="76" r="F51">
        <f>HYPERLINK("http://sofifa.com/en/fifa13winter/player/144587-pablo-guinazu","P. Guiñazú")</f>
        <v>P. Guiñazú</v>
      </c>
      <c s="52" r="G51"/>
      <c s="52" r="H51"/>
      <c s="52" r="I51"/>
      <c s="52" r="J51"/>
      <c s="52" r="K51"/>
      <c t="str" s="76" r="L51">
        <f>HYPERLINK("http://sofifa.com/en/fifa13winter/player/146390-dougie-imrie","D. Imrie")</f>
        <v>D. Imrie</v>
      </c>
      <c t="str" s="76" r="M51">
        <f>HYPERLINK("http://sofifa.com/en/fifa13winter/player/145605-bartlomiej-konieczny","B. Konieczny")</f>
        <v>B. Konieczny</v>
      </c>
      <c s="21" r="N51"/>
    </row>
    <row r="52">
      <c s="52" r="A52"/>
      <c t="str" s="76" r="B52">
        <f>HYPERLINK("http://sofifa.com/en/fifa13winter/player/147015-eder-luis-oliveira","Éder Luís")</f>
        <v>Éder Luís</v>
      </c>
      <c t="str" s="76" r="C52">
        <f>HYPERLINK("http://sofifa.com/en/fifa13winter/player/146565-stefan-kiessling","S. Kießling")</f>
        <v>S. Kießling</v>
      </c>
      <c t="str" s="76" r="D52">
        <f>HYPERLINK("http://sofifa.com/en/fifa13winter/player/148518-marco-reus","M. Reus")</f>
        <v>M. Reus</v>
      </c>
      <c s="21" r="E52"/>
      <c t="str" s="76" r="F52">
        <f>HYPERLINK("http://sofifa.com/en/fifa13winter/player/147332-petr-jiracek","P. Jiráček")</f>
        <v>P. Jiráček</v>
      </c>
      <c s="52" r="G52"/>
      <c s="52" r="H52"/>
      <c s="52" r="I52"/>
      <c s="52" r="J52"/>
      <c s="52" r="K52"/>
      <c t="str" s="76" r="L52">
        <f>HYPERLINK("http://sofifa.com/en/fifa13winter/player/147762-dries-mertens","D. Mertens")</f>
        <v>D. Mertens</v>
      </c>
      <c t="str" s="76" r="M52">
        <f>HYPERLINK("http://sofifa.com/en/fifa13winter/player/147964-bogdan-milic","B. Milić")</f>
        <v>B. Milić</v>
      </c>
      <c s="21" r="N52"/>
    </row>
    <row r="53">
      <c s="52" r="A53"/>
      <c t="str" s="76" r="B53">
        <f>HYPERLINK("http://sofifa.com/en/fifa13winter/player/145581-enio-oliveira-junior","Eninho")</f>
        <v>Eninho</v>
      </c>
      <c t="str" s="76" r="C53">
        <f>HYPERLINK("http://sofifa.com/en/fifa13winter/player/146038-stefan-maierhofer","S. Maierhofer")</f>
        <v>S. Maierhofer</v>
      </c>
      <c t="str" s="76" r="D53">
        <f>HYPERLINK("http://sofifa.com/en/fifa13winter/player/147713-mauro-zarate","M. Zárate")</f>
        <v>M. Zárate</v>
      </c>
      <c s="21" r="E53"/>
      <c t="str" s="76" r="F53">
        <f>HYPERLINK("http://sofifa.com/en/fifa13winter/player/147447-pontus-wernbloom","P. Wernbloom")</f>
        <v>P. Wernbloom</v>
      </c>
      <c s="52" r="G53"/>
      <c s="52" r="H53"/>
      <c s="52" r="I53"/>
      <c s="52" r="J53"/>
      <c s="52" r="K53"/>
      <c t="str" s="76" r="L53">
        <f>HYPERLINK("http://sofifa.com/en/fifa13winter/player/148932-darlington-nagbe","D. Nagbe")</f>
        <v>D. Nagbe</v>
      </c>
      <c t="str" s="76" r="M53">
        <f>HYPERLINK("http://sofifa.com/en/fifa13winter/player/148681-benjamin-mokulu","B. Mokulu")</f>
        <v>B. Mokulu</v>
      </c>
      <c s="21" r="N53"/>
    </row>
    <row r="54">
      <c s="52" r="A54"/>
      <c t="str" s="76" r="B54">
        <f>HYPERLINK("http://sofifa.com/en/fifa13winter/player/150450-fhad-al-muwallad","F. Al Muwallad")</f>
        <v>F. Al Muwallad</v>
      </c>
      <c t="str" s="76" r="C54">
        <f>HYPERLINK("http://sofifa.com/en/fifa13winter/player/149057-simon-makienok","S. Makienok")</f>
        <v>S. Makienok</v>
      </c>
      <c t="str" s="76" r="D54">
        <f>HYPERLINK("http://sofifa.com/en/fifa13winter/player/148055-nico-gaitan","N. Gaitán")</f>
        <v>N. Gaitán</v>
      </c>
      <c s="21" r="E54"/>
      <c t="str" s="76" r="F54">
        <f>HYPERLINK("http://sofifa.com/en/fifa13winter/player/147719-ramires-santos-do-nascimen","Ramires")</f>
        <v>Ramires</v>
      </c>
      <c s="21" r="G54"/>
      <c s="21" r="H54"/>
      <c s="52" r="I54"/>
      <c s="52" r="J54"/>
      <c s="52" r="K54"/>
      <c t="str" s="76" r="L54">
        <f>HYPERLINK("http://sofifa.com/en/fifa13winter/player/148149-dennis-odoi","D. Odoi")</f>
        <v>D. Odoi</v>
      </c>
      <c t="str" s="76" r="M54">
        <f>HYPERLINK("http://sofifa.com/en/fifa13winter/player/145202-berry-powel","B. Powel")</f>
        <v>B. Powel</v>
      </c>
      <c s="21" r="N54"/>
    </row>
    <row r="55">
      <c s="52" r="A55"/>
      <c t="str" s="76" r="B55">
        <f>HYPERLINK("http://sofifa.com/en/fifa13winter/player/147390-francesco-pisano","F. Pisano")</f>
        <v>F. Pisano</v>
      </c>
      <c t="str" s="76" r="C55">
        <f>HYPERLINK("http://sofifa.com/en/fifa13winter/player/144807-sasa-ognenovski","S. Ognenovski")</f>
        <v>S. Ognenovski</v>
      </c>
      <c t="str" s="76" r="D55">
        <f>HYPERLINK("http://sofifa.com/en/fifa13winter/player/147592-luis-carlos-almeida-da-cunha","Nani")</f>
        <v>Nani</v>
      </c>
      <c s="21" r="E55"/>
      <c t="str" s="76" r="F55">
        <f>HYPERLINK("http://sofifa.com/en/fifa13winter/player/146300-rosinei-adolfo","Rosinei")</f>
        <v>Rosinei</v>
      </c>
      <c s="21" r="G55"/>
      <c s="21" r="H55"/>
      <c s="52" r="I55"/>
      <c s="52" r="J55"/>
      <c s="52" r="K55"/>
      <c t="str" s="76" r="L55">
        <f>HYPERLINK("http://sofifa.com/en/fifa13winter/player/147131-dominic-oduro","D. Oduro")</f>
        <v>D. Oduro</v>
      </c>
      <c t="str" s="76" r="M55">
        <f>HYPERLINK("http://sofifa.com/en/fifa13winter/player/147519-brad-rusin","B. Rusin")</f>
        <v>B. Rusin</v>
      </c>
      <c s="21" r="N55"/>
    </row>
    <row r="56">
      <c s="52" r="A56"/>
      <c t="str" s="76" r="B56">
        <f>HYPERLINK("http://sofifa.com/en/fifa13winter/player/146272-franck-ribery","F. Ribéry")</f>
        <v>F. Ribéry</v>
      </c>
      <c t="str" s="76" r="C56">
        <f>HYPERLINK("http://sofifa.com/en/fifa13winter/player/146999-woo-yeon-sim","Sim Woo Yeon")</f>
        <v>Sim Woo Yeon</v>
      </c>
      <c t="str" s="76" r="D56">
        <f>HYPERLINK("http://sofifa.com/en/fifa13winter/player/149498-neymar-da-silva-santos-jr","Neymar")</f>
        <v>Neymar</v>
      </c>
      <c s="21" r="E56"/>
      <c t="str" s="76" r="F56">
        <f>HYPERLINK("http://sofifa.com/en/fifa13winter/player/148484-sven-bender","S. Bender")</f>
        <v>S. Bender</v>
      </c>
      <c s="21" r="G56"/>
      <c s="21" r="H56"/>
      <c s="52" r="I56"/>
      <c s="52" r="J56"/>
      <c s="52" r="K56"/>
      <c t="str" s="76" r="L56">
        <f>HYPERLINK("http://sofifa.com/en/fifa13winter/player/149023-daniel-opare","D. Opare")</f>
        <v>D. Opare</v>
      </c>
      <c t="str" s="76" r="M56">
        <f>HYPERLINK("http://sofifa.com/en/fifa13winter/player/145310-bjorn-ruytinx","B. Ruytinx")</f>
        <v>B. Ruytinx</v>
      </c>
      <c s="21" r="N56"/>
    </row>
    <row r="57">
      <c s="52" r="A57"/>
      <c t="str" s="76" r="B57">
        <f>HYPERLINK("http://sofifa.com/en/fifa13winter/player/148218-ferdinando-vitofrancesco","F. Vitofrancesco")</f>
        <v>F. Vitofrancesco</v>
      </c>
      <c t="str" s="76" r="C57">
        <f>HYPERLINK("http://sofifa.com/en/fifa13winter/player/147647-steven-de-sousa-vitoria","Steven Vitória")</f>
        <v>Steven Vitória</v>
      </c>
      <c t="str" s="76" r="D57">
        <f>HYPERLINK("http://sofifa.com/en/fifa13winter/player/148229-oussama-assaidi","O. Assaidi")</f>
        <v>O. Assaidi</v>
      </c>
      <c s="21" r="E57"/>
      <c t="str" s="76" r="F57">
        <f>HYPERLINK("http://sofifa.com/en/fifa13winter/player/149016-sebastian-rode","S. Rode")</f>
        <v>S. Rode</v>
      </c>
      <c s="21" r="G57"/>
      <c s="21" r="H57"/>
      <c s="52" r="I57"/>
      <c s="52" r="J57"/>
      <c s="52" r="K57"/>
      <c t="str" s="76" r="L57">
        <f>HYPERLINK("http://sofifa.com/en/fifa13winter/player/149361-daniele-ragatzu","D. Ragatzu")</f>
        <v>D. Ragatzu</v>
      </c>
      <c t="str" s="76" r="M57">
        <f>HYPERLINK("http://sofifa.com/en/fifa13winter/player/145619-bjorn-schlicke","B. Schlicke")</f>
        <v>B. Schlicke</v>
      </c>
      <c s="21" r="N57"/>
    </row>
    <row r="58">
      <c s="52" r="A58"/>
      <c t="str" s="76" r="B58">
        <f>HYPERLINK("http://sofifa.com/en/fifa13winter/player/147557-gabriel-agbonlahor","G. Agbonlahor")</f>
        <v>G. Agbonlahor</v>
      </c>
      <c t="str" s="76" r="C58">
        <f>HYPERLINK("http://sofifa.com/en/fifa13winter/player/145054-tim-cahill","T. Cahill")</f>
        <v>T. Cahill</v>
      </c>
      <c t="str" s="76" r="D58">
        <f>HYPERLINK("http://sofifa.com/en/fifa13winter/player/148027-julian-omar-ramos-suarez","Omar Ramos")</f>
        <v>Omar Ramos</v>
      </c>
      <c s="21" r="E58"/>
      <c t="str" s="76" r="F58">
        <f>HYPERLINK("http://sofifa.com/en/fifa13winter/player/148623-thomas-muller","T. Müller")</f>
        <v>T. Müller</v>
      </c>
      <c s="21" r="G58"/>
      <c s="21" r="H58"/>
      <c s="52" r="I58"/>
      <c s="52" r="J58"/>
      <c s="52" r="K58"/>
      <c t="str" s="76" r="L58">
        <f>HYPERLINK("http://sofifa.com/en/fifa13winter/player/149267-daniel-schutz","D. Schütz")</f>
        <v>D. Schütz</v>
      </c>
      <c t="str" s="76" r="M58">
        <f>HYPERLINK("http://sofifa.com/en/fifa13winter/player/147219-bakary-soumare","B. Soumaré")</f>
        <v>B. Soumaré</v>
      </c>
      <c s="21" r="N58"/>
    </row>
    <row r="59">
      <c s="52" r="A59"/>
      <c t="str" s="76" r="B59">
        <f>HYPERLINK("http://sofifa.com/en/fifa13winter/player/148564-gareth-bale","G. Bale")</f>
        <v>G. Bale</v>
      </c>
      <c t="str" s="76" r="C59">
        <f>HYPERLINK("http://sofifa.com/en/fifa13winter/player/149391-tom-eastman","T. Eastman")</f>
        <v>T. Eastman</v>
      </c>
      <c t="str" s="76" r="D59">
        <f>HYPERLINK("http://sofifa.com/en/fifa13winter/player/147624-ryan-babel","R. Babel")</f>
        <v>R. Babel</v>
      </c>
      <c s="21" r="E59"/>
      <c t="str" s="76" r="F59">
        <f>HYPERLINK("http://sofifa.com/en/fifa13winter/player/146249-umut-bulut","U. Bulut")</f>
        <v>U. Bulut</v>
      </c>
      <c s="21" r="G59"/>
      <c s="21" r="H59"/>
      <c s="52" r="I59"/>
      <c s="52" r="J59"/>
      <c s="52" r="K59"/>
      <c t="str" s="76" r="L59">
        <f>HYPERLINK("http://sofifa.com/en/fifa13winter/player/146256-dagoberto-pelentier","Dagoberto")</f>
        <v>Dagoberto</v>
      </c>
      <c t="str" s="76" r="M59">
        <f>HYPERLINK("http://sofifa.com/en/fifa13winter/player/143500-sergio-m-ballesteros","Ballesteros")</f>
        <v>Ballesteros</v>
      </c>
      <c s="21" r="N59"/>
    </row>
    <row r="60">
      <c s="52" r="A60"/>
      <c t="str" s="76" r="B60">
        <f>HYPERLINK("http://sofifa.com/en/fifa13winter/player/149270-giuseppe-de-luca","G. De Luca")</f>
        <v>G. De Luca</v>
      </c>
      <c t="str" s="76" r="C60">
        <f>HYPERLINK("http://sofifa.com/en/fifa13winter/player/145721-zlatan-ibrahimovic","Z. Ibrahimović")</f>
        <v>Z. Ibrahimović</v>
      </c>
      <c t="str" s="76" r="D60">
        <f>HYPERLINK("http://sofifa.com/en/fifa13winter/player/146565-robson-de-souza","Robinho")</f>
        <v>Robinho</v>
      </c>
      <c s="21" r="E60"/>
      <c t="str" s="76" r="F60">
        <f>HYPERLINK("http://sofifa.com/en/fifa13winter/player/147203-wayne-rooney","W. Rooney")</f>
        <v>W. Rooney</v>
      </c>
      <c s="21" r="G60"/>
      <c s="21" r="H60"/>
      <c s="52" r="I60"/>
      <c s="52" r="J60"/>
      <c s="52" r="K60"/>
      <c t="str" s="76" r="L60">
        <f>HYPERLINK("http://sofifa.com/en/fifa13winter/player/146301-daniel-alves-da-silva","Dani Alves")</f>
        <v>Dani Alves</v>
      </c>
      <c t="str" s="76" r="M60">
        <f>HYPERLINK("http://sofifa.com/en/fifa13winter/player/145459-borja-fernandez-fernandez","Borja")</f>
        <v>Borja</v>
      </c>
      <c s="21" r="N60"/>
    </row>
    <row r="61">
      <c s="52" r="A61"/>
      <c t="str" s="76" r="B61">
        <f>HYPERLINK("http://sofifa.com/en/fifa13winter/player/146910-gokhan-gonul","G. Gönül")</f>
        <v>G. Gönül</v>
      </c>
      <c t="str" s="76" r="C61">
        <f>HYPERLINK("http://sofifa.com/en/fifa13winter/player/145202-zat-knight","Z. Knight")</f>
        <v>Z. Knight</v>
      </c>
      <c t="str" s="76" r="D61">
        <f>HYPERLINK("http://sofifa.com/en/fifa13winter/player/145160-ronaldo-de-assis-moreira","Ronaldinho")</f>
        <v>Ronaldinho</v>
      </c>
      <c s="21" r="E61"/>
      <c t="str" s="76" r="F61">
        <f>HYPERLINK("http://sofifa.com/en/fifa13winter/player/147905-zlatko-junuzovic","Z. Junuzović")</f>
        <v>Z. Junuzović</v>
      </c>
      <c s="21" r="G61"/>
      <c s="21" r="H61"/>
      <c s="52" r="I61"/>
      <c s="52" r="J61"/>
      <c s="52" r="K61"/>
      <c t="str" s="76" r="L61">
        <f>HYPERLINK("http://sofifa.com/en/fifa13winter/player/147216-danilo-leandro-dias","Danilo Dias")</f>
        <v>Danilo Dias</v>
      </c>
      <c t="str" s="76" r="M61">
        <f>HYPERLINK("http://sofifa.com/en/fifa13winter/player/150226-borja-lopez-menendez","Borja López")</f>
        <v>Borja López</v>
      </c>
      <c s="21" r="N61"/>
    </row>
    <row r="62">
      <c s="52" r="A62"/>
      <c t="str" s="76" r="B62">
        <f>HYPERLINK("http://sofifa.com/en/fifa13winter/player/148972-golgol-mebrahtu","G. Mebrahtu")</f>
        <v>G. Mebrahtu</v>
      </c>
      <c s="52" r="C62"/>
      <c t="str" s="76" r="D62">
        <f>HYPERLINK("http://sofifa.com/en/fifa13winter/player/148155-sergio-aguero","S. Agüero")</f>
        <v>S. Agüero</v>
      </c>
      <c s="52" r="E62"/>
      <c s="52" r="F62"/>
      <c s="52" r="G62"/>
      <c s="52" r="H62"/>
      <c s="52" r="I62"/>
      <c s="52" r="J62"/>
      <c s="52" r="K62"/>
      <c t="str" s="76" r="L62">
        <f>HYPERLINK("http://sofifa.com/en/fifa13winter/player/147279-david-josue-jimenez-silva","David Silva")</f>
        <v>David Silva</v>
      </c>
      <c t="str" s="76" r="M62">
        <f>HYPERLINK("http://sofifa.com/en/fifa13winter/player/148600-charlison-benschop","C. Benschop")</f>
        <v>C. Benschop</v>
      </c>
      <c s="52" r="N62"/>
    </row>
    <row r="63">
      <c s="52" r="A63"/>
      <c t="str" s="76" r="B63">
        <f>HYPERLINK("http://sofifa.com/en/fifa13winter/player/146263-guillermo-rojas","G. Rojas")</f>
        <v>G. Rojas</v>
      </c>
      <c s="52" r="C63"/>
      <c t="str" s="76" r="D63">
        <f>HYPERLINK("http://sofifa.com/en/fifa13winter/player/148001-seydou-doumbia","S. Doumbia")</f>
        <v>S. Doumbia</v>
      </c>
      <c s="52" r="E63"/>
      <c s="52" r="F63"/>
      <c s="52" r="G63"/>
      <c s="52" r="H63"/>
      <c s="52" r="I63"/>
      <c s="52" r="J63"/>
      <c s="52" r="K63"/>
      <c t="str" s="76" r="L63">
        <f>HYPERLINK("http://sofifa.com/en/fifa13winter/player/150265-gerard-deulofeu-lazaro","Deulofeu")</f>
        <v>Deulofeu</v>
      </c>
      <c t="str" s="76" r="M63">
        <f>HYPERLINK("http://sofifa.com/en/fifa13winter/player/149069-christian-benteke","C. Benteke")</f>
        <v>C. Benteke</v>
      </c>
      <c s="52" r="N63"/>
    </row>
    <row r="64">
      <c s="52" r="A64"/>
      <c t="str" s="76" r="B64">
        <f>HYPERLINK("http://sofifa.com/en/fifa13winter/player/149137-georg-teigl","G. Teigl")</f>
        <v>G. Teigl</v>
      </c>
      <c s="52" r="C64"/>
      <c t="str" s="76" r="D64">
        <f>HYPERLINK("http://sofifa.com/en/fifa13winter/player/149763-stephan-el-shaarawy","S. El Shaarawy")</f>
        <v>S. El Shaarawy</v>
      </c>
      <c s="52" r="E64"/>
      <c s="52" r="F64"/>
      <c s="52" r="G64"/>
      <c s="52" r="H64"/>
      <c s="52" r="I64"/>
      <c s="52" r="J64"/>
      <c s="52" r="K64"/>
      <c t="str" s="76" r="L64">
        <f>HYPERLINK("http://sofifa.com/en/fifa13winter/player/146965-diego-ribas-da-cunha","Diego")</f>
        <v>Diego</v>
      </c>
      <c t="str" s="76" r="M64">
        <f>HYPERLINK("http://sofifa.com/en/fifa13winter/player/144531-christoph-dabrowski","C. Dabrowski")</f>
        <v>C. Dabrowski</v>
      </c>
      <c s="52" r="N64"/>
    </row>
    <row r="65">
      <c s="52" r="A65"/>
      <c t="str" s="76" r="B65">
        <f>HYPERLINK("http://sofifa.com/en/fifa13winter/player/148066-hernan-dario-burbano","H. Burbano")</f>
        <v>H. Burbano</v>
      </c>
      <c s="52" r="C65"/>
      <c t="str" s="76" r="D65">
        <f>HYPERLINK("http://sofifa.com/en/fifa13winter/player/147662-sebastian-giovinco","S. Giovinco")</f>
        <v>S. Giovinco</v>
      </c>
      <c s="52" r="E65"/>
      <c s="52" r="F65"/>
      <c s="52" r="G65"/>
      <c s="52" r="H65"/>
      <c s="52" r="I65"/>
      <c s="52" r="J65"/>
      <c s="52" r="K65"/>
      <c t="str" s="76" r="L65">
        <f>HYPERLINK("http://sofifa.com/en/fifa13winter/player/148048-diego-capel-trinidad","Diego Capel")</f>
        <v>Diego Capel</v>
      </c>
      <c t="str" s="76" r="M65">
        <f>HYPERLINK("http://sofifa.com/en/fifa13winter/player/144779-claude-davis","C. Davis")</f>
        <v>C. Davis</v>
      </c>
      <c s="52" r="N65"/>
    </row>
    <row r="66">
      <c s="52" r="A66"/>
      <c t="str" s="76" r="B66">
        <f>HYPERLINK("http://sofifa.com/en/fifa13winter/player/147652-hans-julius-norbye","H. Norbye")</f>
        <v>H. Norbye</v>
      </c>
      <c s="52" r="C66"/>
      <c t="str" s="76" r="D66">
        <f>HYPERLINK("http://sofifa.com/en/fifa13winter/player/148443-shinji-kagawa","S. Kagawa")</f>
        <v>S. Kagawa</v>
      </c>
      <c s="52" r="E66"/>
      <c s="52" r="F66"/>
      <c s="52" r="G66"/>
      <c s="52" r="H66"/>
      <c s="52" r="I66"/>
      <c s="52" r="J66"/>
      <c s="52" r="K66"/>
      <c t="str" s="76" r="L66">
        <f>HYPERLINK("http://sofifa.com/en/fifa13winter/player/148862-diego-farias-da-silva","Diego Farías")</f>
        <v>Diego Farías</v>
      </c>
      <c t="str" s="76" r="M66">
        <f>HYPERLINK("http://sofifa.com/en/fifa13winter/player/148117-cheick-diabate","C. Diabaté")</f>
        <v>C. Diabaté</v>
      </c>
      <c s="52" r="N66"/>
    </row>
    <row r="67">
      <c s="52" r="A67"/>
      <c t="str" s="76" r="B67">
        <f>HYPERLINK("http://sofifa.com/en/fifa13winter/player/147587-ignazio-abate","I. Abate")</f>
        <v>I. Abate</v>
      </c>
      <c s="52" r="C67"/>
      <c t="str" s="76" r="D67">
        <f>HYPERLINK("http://sofifa.com/en/fifa13winter/player/147123-salomon-kalou","S. Kalou")</f>
        <v>S. Kalou</v>
      </c>
      <c s="52" r="E67"/>
      <c s="52" r="F67"/>
      <c s="52" r="G67"/>
      <c s="52" r="H67"/>
      <c s="52" r="I67"/>
      <c s="52" r="J67"/>
      <c s="52" r="K67"/>
      <c t="str" s="76" r="L67">
        <f>HYPERLINK("http://sofifa.com/en/fifa13winter/player/147031-emanuele-giaccherini","E. Giaccherini")</f>
        <v>E. Giaccherini</v>
      </c>
      <c t="str" s="76" r="M67">
        <f>HYPERLINK("http://sofifa.com/en/fifa13winter/player/148506-clement-fabre","C. Fabre")</f>
        <v>C. Fabre</v>
      </c>
      <c s="52" r="N67"/>
    </row>
    <row r="68">
      <c s="52" r="A68"/>
      <c t="str" s="76" r="B68">
        <f>HYPERLINK("http://sofifa.com/en/fifa13winter/player/150125-imoh-ezekiel","I. Ezekiel")</f>
        <v>I. Ezekiel</v>
      </c>
      <c s="52" r="C68"/>
      <c t="str" s="76" r="D68">
        <f>HYPERLINK("http://sofifa.com/en/fifa13winter/player/147813-samir-nasri","S. Nasri")</f>
        <v>S. Nasri</v>
      </c>
      <c s="52" r="E68"/>
      <c s="52" r="F68"/>
      <c s="52" r="G68"/>
      <c s="52" r="H68"/>
      <c s="52" r="I68"/>
      <c s="52" r="J68"/>
      <c s="52" r="K68"/>
      <c t="str" s="76" r="L68">
        <f>HYPERLINK("http://sofifa.com/en/fifa13winter/player/149104-eden-hazard","E. Hazard")</f>
        <v>E. Hazard</v>
      </c>
      <c t="str" s="76" r="M68">
        <f>HYPERLINK("http://sofifa.com/en/fifa13winter/player/145932-csaba-horvath","C. Horváth")</f>
        <v>C. Horváth</v>
      </c>
      <c s="52" r="N68"/>
    </row>
    <row r="69">
      <c s="52" r="A69"/>
      <c t="str" s="76" r="B69">
        <f>HYPERLINK("http://sofifa.com/en/fifa13winter/player/148059-iain-ramsay","I. Ramsay")</f>
        <v>I. Ramsay</v>
      </c>
      <c s="52" r="C69"/>
      <c t="str" s="76" r="D69">
        <f>HYPERLINK("http://sofifa.com/en/fifa13winter/player/146888-santiago-cazorla-gonzalez","Santi Cazorla")</f>
        <v>Santi Cazorla</v>
      </c>
      <c s="52" r="E69"/>
      <c s="52" r="F69"/>
      <c s="52" r="G69"/>
      <c s="52" r="H69"/>
      <c s="52" r="I69"/>
      <c s="52" r="J69"/>
      <c s="52" r="K69"/>
      <c t="str" s="76" r="L69">
        <f>HYPERLINK("http://sofifa.com/en/fifa13winter/player/147029-ezequiel-lavezzi","E. Lavezzi")</f>
        <v>E. Lavezzi</v>
      </c>
      <c t="str" s="76" r="M69">
        <f>HYPERLINK("http://sofifa.com/en/fifa13winter/player/146847-christoffer-midboe-lunde","C. Midbøe Lunde")</f>
        <v>C. Midbøe Lunde</v>
      </c>
      <c s="52" r="N69"/>
    </row>
    <row r="70">
      <c s="52" r="A70"/>
      <c t="str" s="76" r="B70">
        <f>HYPERLINK("http://sofifa.com/en/fifa13winter/player/149723-irakli-shekiladze","I. Shekiladze")</f>
        <v>I. Shekiladze</v>
      </c>
      <c s="52" r="C70"/>
      <c t="str" s="76" r="D70">
        <f>HYPERLINK("http://sofifa.com/en/fifa13winter/player/147295-adelino-andre-vieira-freitas","Vieirinha")</f>
        <v>Vieirinha</v>
      </c>
      <c s="52" r="E70"/>
      <c s="52" r="F70"/>
      <c s="52" r="G70"/>
      <c s="52" r="H70"/>
      <c s="52" r="I70"/>
      <c s="52" r="J70"/>
      <c s="52" r="K70"/>
      <c t="str" s="76" r="L70">
        <f>HYPERLINK("http://sofifa.com/en/fifa13winter/player/149057-emmanuel-mayuka","E. Mayuka")</f>
        <v>E. Mayuka</v>
      </c>
      <c t="str" s="76" r="M70">
        <f>HYPERLINK("http://sofifa.com/en/fifa13winter/player/144809-cesare-natali","C. Natali")</f>
        <v>C. Natali</v>
      </c>
      <c s="52" r="N70"/>
    </row>
    <row r="71">
      <c s="52" r="A71"/>
      <c t="str" s="76" r="B71">
        <f>HYPERLINK("http://sofifa.com/en/fifa13winter/player/145494-ivan-sproule","I. Sproule")</f>
        <v>I. Sproule</v>
      </c>
      <c s="52" r="C71"/>
      <c t="str" s="76" r="D71">
        <f>HYPERLINK("http://sofifa.com/en/fifa13winter/player/146645-walter-montillo","W. Montillo")</f>
        <v>W. Montillo</v>
      </c>
      <c s="52" r="E71"/>
      <c s="52" r="F71"/>
      <c s="52" r="G71"/>
      <c s="52" r="H71"/>
      <c s="52" r="I71"/>
      <c s="52" r="J71"/>
      <c s="52" r="K71"/>
      <c t="str" s="76" r="L71">
        <f>HYPERLINK("http://sofifa.com/en/fifa13winter/player/147015-eder-luis-oliveira","Éder Luís")</f>
        <v>Éder Luís</v>
      </c>
      <c t="str" s="76" r="M71">
        <f>HYPERLINK("http://sofifa.com/en/fifa13winter/player/147266-claudio-daniel-perez","C. Pérez")</f>
        <v>C. Pérez</v>
      </c>
      <c s="52" r="N71"/>
    </row>
    <row r="72">
      <c s="52" r="A72"/>
      <c t="str" s="76" r="B72">
        <f>HYPERLINK("http://sofifa.com/en/fifa13winter/player/149545-igor-vetokele","I. Vetokele")</f>
        <v>I. Vetokele</v>
      </c>
      <c s="52" r="C72"/>
      <c t="str" s="76" r="D72">
        <f>HYPERLINK("http://sofifa.com/en/fifa13winter/player/148223-willian-borges-da-silva","Willian")</f>
        <v>Willian</v>
      </c>
      <c s="52" r="E72"/>
      <c s="52" r="F72"/>
      <c s="52" r="G72"/>
      <c s="52" r="H72"/>
      <c s="52" r="I72"/>
      <c s="52" r="J72"/>
      <c s="52" r="K72"/>
      <c t="str" s="76" r="L72">
        <f>HYPERLINK("http://sofifa.com/en/fifa13winter/player/149610-jose-elber-pimentel-da-silva","Elber")</f>
        <v>Elber</v>
      </c>
      <c t="str" s="76" r="M72">
        <f>HYPERLINK("http://sofifa.com/en/fifa13winter/player/144284-clive-platt","C. Platt")</f>
        <v>C. Platt</v>
      </c>
      <c s="52" r="N72"/>
    </row>
    <row r="73">
      <c s="52" r="A73"/>
      <c t="str" s="76" r="B73">
        <f>HYPERLINK("http://sofifa.com/en/fifa13winter/player/148774-javier-aquino","J. Aquino")</f>
        <v>J. Aquino</v>
      </c>
      <c s="52" r="C73"/>
      <c t="str" s="76" r="D73">
        <f>HYPERLINK("http://sofifa.com/en/fifa13winter/player/149380-xherdan-shaqiri","X. Shaqiri")</f>
        <v>X. Shaqiri</v>
      </c>
      <c s="52" r="E73"/>
      <c s="52" r="F73"/>
      <c s="52" r="G73"/>
      <c s="52" r="H73"/>
      <c s="52" r="I73"/>
      <c s="52" r="J73"/>
      <c s="52" r="K73"/>
      <c t="str" s="76" r="L73">
        <f>HYPERLINK("http://sofifa.com/en/fifa13winter/player/145581-enio-oliveira-junior","Eninho")</f>
        <v>Eninho</v>
      </c>
      <c t="str" s="76" r="M73">
        <f>HYPERLINK("http://sofifa.com/en/fifa13winter/player/146628-christopher-samba","C. Samba")</f>
        <v>C. Samba</v>
      </c>
      <c s="52" r="N73"/>
    </row>
    <row r="74">
      <c s="52" r="A74"/>
      <c t="str" s="76" r="B74">
        <f>HYPERLINK("http://sofifa.com/en/fifa13winter/player/148120-jonathan-biabiany","J. Biabiany")</f>
        <v>J. Biabiany</v>
      </c>
      <c s="52" r="C74"/>
      <c t="str" s="76" r="D74">
        <f>HYPERLINK("http://sofifa.com/en/fifa13winter/player/145721-zlatan-ibrahimovic","Z. Ibrahimović")</f>
        <v>Z. Ibrahimović</v>
      </c>
      <c s="52" r="E74"/>
      <c s="52" r="F74"/>
      <c s="52" r="G74"/>
      <c s="52" r="H74"/>
      <c s="52" r="I74"/>
      <c s="52" r="J74"/>
      <c s="52" r="K74"/>
      <c t="str" s="76" r="L74">
        <f>HYPERLINK("http://sofifa.com/en/fifa13winter/player/147558-everton-leandro-dos-santos-pinto","Everton Santos")</f>
        <v>Everton Santos</v>
      </c>
      <c t="str" s="76" r="M74">
        <f>HYPERLINK("http://sofifa.com/en/fifa13winter/player/148023-christian-strohdiek","C. Strohdiek")</f>
        <v>C. Strohdiek</v>
      </c>
      <c s="52" r="N74"/>
    </row>
    <row r="75">
      <c s="52" r="A75"/>
      <c t="str" s="76" r="B75">
        <f>HYPERLINK("http://sofifa.com/en/fifa13winter/player/147254-jakub-blaszczykowski","J. Błaszczykowski")</f>
        <v>J. Błaszczykowski</v>
      </c>
      <c s="52" r="C75"/>
      <c t="str" s="76" r="D75">
        <f>HYPERLINK("http://sofifa.com/en/fifa13winter/player/147754-zoran-tosic","Z. Tošić")</f>
        <v>Z. Tošić</v>
      </c>
      <c s="52" r="E75"/>
      <c s="52" r="F75"/>
      <c s="52" r="G75"/>
      <c s="52" r="H75"/>
      <c s="52" r="I75"/>
      <c s="52" r="J75"/>
      <c s="52" r="K75"/>
      <c t="str" s="76" r="L75">
        <f>HYPERLINK("http://sofifa.com/en/fifa13winter/player/149109-ezequiel-calvente-criado","Ezequiel Calvente")</f>
        <v>Ezequiel Calvente</v>
      </c>
      <c t="str" s="76" r="M75">
        <f>HYPERLINK("http://sofifa.com/en/fifa13winter/player/146033-christian-stuff","C. Stuff")</f>
        <v>C. Stuff</v>
      </c>
      <c s="52" r="N75"/>
    </row>
    <row r="76">
      <c s="52" r="A76"/>
      <c t="str" s="76" r="B76">
        <f>HYPERLINK("http://sofifa.com/en/fifa13winter/player/148148-juan-cuadrado","J. Cuadrado")</f>
        <v>J. Cuadrado</v>
      </c>
      <c s="52" r="C76"/>
      <c s="52" r="D76"/>
      <c s="52" r="E76"/>
      <c s="52" r="F76"/>
      <c s="52" r="G76"/>
      <c s="52" r="H76"/>
      <c s="52" r="I76"/>
      <c s="52" r="J76"/>
      <c s="52" r="K76"/>
      <c t="str" s="76" r="L76">
        <f>HYPERLINK("http://sofifa.com/en/fifa13winter/player/150450-fhad-al-muwallad","F. Al Muwallad")</f>
        <v>F. Al Muwallad</v>
      </c>
      <c t="str" s="76" r="M76">
        <f>HYPERLINK("http://sofifa.com/en/fifa13winter/player/145124-cesar-gonzalez-navas","César Navas")</f>
        <v>César Navas</v>
      </c>
      <c s="52" r="N76"/>
    </row>
    <row r="77">
      <c s="52" r="A77"/>
      <c t="str" s="76" r="B77">
        <f>HYPERLINK("http://sofifa.com/en/fifa13winter/player/150668-jean-marie-dongou-tsafack","J. Dongou Tsafack")</f>
        <v>J. Dongou Tsafack</v>
      </c>
      <c s="52" r="C77"/>
      <c s="52" r="D77"/>
      <c s="52" r="E77"/>
      <c s="52" r="F77"/>
      <c s="52" r="G77"/>
      <c s="52" r="H77"/>
      <c s="52" r="I77"/>
      <c s="52" r="J77"/>
      <c s="52" r="K77"/>
      <c t="str" s="76" r="L77">
        <f>HYPERLINK("http://sofifa.com/en/fifa13winter/player/149631-fabian-castillo","F. Castillo")</f>
        <v>F. Castillo</v>
      </c>
      <c t="str" s="76" r="M77">
        <f>HYPERLINK("http://sofifa.com/en/fifa13winter/player/146602-te-se-chong","Chong Te Se")</f>
        <v>Chong Te Se</v>
      </c>
      <c s="52" r="N77"/>
    </row>
    <row r="78">
      <c s="52" r="A78"/>
      <c t="str" s="76" r="B78">
        <f>HYPERLINK("http://sofifa.com/en/fifa13winter/player/149285-james-forrest","J. Forrest")</f>
        <v>J. Forrest</v>
      </c>
      <c s="52" r="C78"/>
      <c s="52" r="D78"/>
      <c s="52" r="E78"/>
      <c s="52" r="F78"/>
      <c s="52" r="G78"/>
      <c s="52" r="H78"/>
      <c s="52" r="I78"/>
      <c s="52" r="J78"/>
      <c s="52" r="K78"/>
      <c t="str" s="76" r="L78">
        <f>HYPERLINK("http://sofifa.com/en/fifa13winter/player/148692-fabian-delph","F. Delph")</f>
        <v>F. Delph</v>
      </c>
      <c t="str" s="76" r="M78">
        <f>HYPERLINK("http://sofifa.com/en/fifa13winter/player/148864-cleber-pereira-reis","Cleber")</f>
        <v>Cleber</v>
      </c>
      <c s="52" r="N78"/>
    </row>
    <row r="79">
      <c s="52" r="A79"/>
      <c t="str" s="76" r="B79">
        <f>HYPERLINK("http://sofifa.com/en/fifa13winter/player/149338-joshua-gatt","J. Gatt")</f>
        <v>J. Gatt</v>
      </c>
      <c s="52" r="C79"/>
      <c s="52" r="D79"/>
      <c s="52" r="E79"/>
      <c s="52" r="F79"/>
      <c s="52" r="G79"/>
      <c s="52" r="H79"/>
      <c s="52" r="I79"/>
      <c s="52" r="J79"/>
      <c s="52" r="K79"/>
      <c t="str" s="76" r="L79">
        <f>HYPERLINK("http://sofifa.com/en/fifa13winter/player/149760-florian-kainz","F. Kainz")</f>
        <v>F. Kainz</v>
      </c>
      <c t="str" s="76" r="M79">
        <f>HYPERLINK("http://sofifa.com/en/fifa13winter/player/147051-demba-ba","D. Ba")</f>
        <v>D. Ba</v>
      </c>
      <c s="52" r="N79"/>
    </row>
    <row r="80">
      <c s="52" r="A80"/>
      <c t="str" s="76" r="B80">
        <f>HYPERLINK("http://sofifa.com/en/fifa13winter/player/149722-joseph-claude-gyau","J. Gyau")</f>
        <v>J. Gyau</v>
      </c>
      <c s="52" r="C80"/>
      <c s="52" r="D80"/>
      <c s="52" r="E80"/>
      <c s="52" r="F80"/>
      <c s="52" r="G80"/>
      <c s="52" r="H80"/>
      <c s="52" r="I80"/>
      <c s="52" r="J80"/>
      <c s="52" r="K80"/>
      <c t="str" s="76" r="L80">
        <f>HYPERLINK("http://sofifa.com/en/fifa13winter/player/144892-fabrizio-miccoli","F. Miccoli")</f>
        <v>F. Miccoli</v>
      </c>
      <c t="str" s="76" r="M80">
        <f>HYPERLINK("http://sofifa.com/en/fifa13winter/player/146258-dmitriy-belorukov","D. Belorukov")</f>
        <v>D. Belorukov</v>
      </c>
      <c s="52" r="N80"/>
    </row>
    <row r="81">
      <c s="52" r="A81"/>
      <c t="str" s="76" r="B81">
        <f>HYPERLINK("http://sofifa.com/en/fifa13winter/player/148888-junior-hoilett","J. Hoilett")</f>
        <v>J. Hoilett</v>
      </c>
      <c s="52" r="C81"/>
      <c s="52" r="D81"/>
      <c s="52" r="E81"/>
      <c s="52" r="F81"/>
      <c s="52" r="G81"/>
      <c s="52" r="H81"/>
      <c s="52" r="I81"/>
      <c s="52" r="J81"/>
      <c s="52" r="K81"/>
      <c t="str" s="76" r="L81">
        <f>HYPERLINK("http://sofifa.com/en/fifa13winter/player/148475-fernando-navarro","F. Navarro")</f>
        <v>F. Navarro</v>
      </c>
      <c t="str" s="76" r="M81">
        <f>HYPERLINK("http://sofifa.com/en/fifa13winter/player/147568-daniel-bode","D. Böde")</f>
        <v>D. Böde</v>
      </c>
      <c s="52" r="N81"/>
    </row>
    <row r="82">
      <c s="52" r="A82"/>
      <c t="str" s="76" r="B82">
        <f>HYPERLINK("http://sofifa.com/en/fifa13winter/player/149983-juan-manuel-iturbe","J. Iturbe")</f>
        <v>J. Iturbe</v>
      </c>
      <c s="52" r="C82"/>
      <c s="52" r="D82"/>
      <c s="52" r="E82"/>
      <c s="52" r="F82"/>
      <c s="52" r="G82"/>
      <c s="52" r="H82"/>
      <c s="52" r="I82"/>
      <c s="52" r="J82"/>
      <c s="52" r="K82"/>
      <c t="str" s="76" r="L82">
        <f>HYPERLINK("http://sofifa.com/en/fifa13winter/player/147298-fabian-orellana","F. Orellana")</f>
        <v>F. Orellana</v>
      </c>
      <c t="str" s="76" r="M82">
        <f>HYPERLINK("http://sofifa.com/en/fifa13winter/player/145038-dmitry-bulykin","D. Bulykin")</f>
        <v>D. Bulykin</v>
      </c>
      <c s="52" r="N82"/>
    </row>
    <row r="83">
      <c s="52" r="A83"/>
      <c t="str" s="76" r="B83">
        <f>HYPERLINK("http://sofifa.com/en/fifa13winter/player/146559-jimmy-kebe","J. Kébé")</f>
        <v>J. Kébé</v>
      </c>
      <c s="52" r="C83"/>
      <c s="52" r="D83"/>
      <c s="52" r="E83"/>
      <c s="52" r="F83"/>
      <c s="52" r="G83"/>
      <c s="52" r="H83"/>
      <c s="52" r="I83"/>
      <c s="52" r="J83"/>
      <c s="52" r="K83"/>
      <c t="str" s="76" r="L83">
        <f>HYPERLINK("http://sofifa.com/en/fifa13winter/player/146272-franck-ribery","F. Ribéry")</f>
        <v>F. Ribéry</v>
      </c>
      <c t="str" s="76" r="M83">
        <f>HYPERLINK("http://sofifa.com/en/fifa13winter/player/145156-danny-califf","D. Califf")</f>
        <v>D. Califf</v>
      </c>
      <c s="52" r="N83"/>
    </row>
    <row r="84">
      <c s="52" r="A84"/>
      <c t="str" s="76" r="B84">
        <f>HYPERLINK("http://sofifa.com/en/fifa13winter/player/148973-jakub-kosecki","J. Kosecki")</f>
        <v>J. Kosecki</v>
      </c>
      <c s="52" r="C84"/>
      <c s="52" r="D84"/>
      <c s="52" r="E84"/>
      <c s="52" r="F84"/>
      <c s="52" r="G84"/>
      <c s="52" r="H84"/>
      <c s="52" r="I84"/>
      <c s="52" r="J84"/>
      <c s="52" r="K84"/>
      <c t="str" s="76" r="L84">
        <f>HYPERLINK("http://sofifa.com/en/fifa13winter/player/148218-ferdinando-vitofrancesco","F. Vitofrancesco")</f>
        <v>F. Vitofrancesco</v>
      </c>
      <c t="str" s="76" r="M84">
        <f>HYPERLINK("http://sofifa.com/en/fifa13winter/player/147442-daniele-capelli","D. Capelli")</f>
        <v>D. Capelli</v>
      </c>
      <c s="52" r="N84"/>
    </row>
    <row r="85">
      <c s="52" r="A85"/>
      <c t="str" s="76" r="B85">
        <f>HYPERLINK("http://sofifa.com/en/fifa13winter/player/149782-jody-lukoki","J. Lukoki")</f>
        <v>J. Lukoki</v>
      </c>
      <c s="52" r="C85"/>
      <c s="52" r="D85"/>
      <c s="52" r="E85"/>
      <c s="52" r="F85"/>
      <c s="52" r="G85"/>
      <c s="52" r="H85"/>
      <c s="52" r="I85"/>
      <c s="52" r="J85"/>
      <c s="52" r="K85"/>
      <c t="str" s="76" r="L85">
        <f>HYPERLINK("http://sofifa.com/en/fifa13winter/player/150123-gael-bigirimana","G. Bigirimana")</f>
        <v>G. Bigirimana</v>
      </c>
      <c t="str" s="76" r="M85">
        <f>HYPERLINK("http://sofifa.com/en/fifa13winter/player/148647-daniel-drescher","D. Drescher")</f>
        <v>D. Drescher</v>
      </c>
      <c s="52" r="N85"/>
    </row>
    <row r="86">
      <c s="52" r="A86"/>
      <c t="str" s="76" r="B86">
        <f>HYPERLINK("http://sofifa.com/en/fifa13winter/player/148106-jermaine-mcglashan","J. McGlashan")</f>
        <v>J. McGlashan</v>
      </c>
      <c s="52" r="C86"/>
      <c s="52" r="D86"/>
      <c s="52" r="E86"/>
      <c s="52" r="F86"/>
      <c s="52" r="G86"/>
      <c s="52" r="H86"/>
      <c s="52" r="I86"/>
      <c s="52" r="J86"/>
      <c s="52" r="K86"/>
      <c t="str" s="76" r="L86">
        <f>HYPERLINK("http://sofifa.com/en/fifa13winter/player/149183-gary-burke","G. Burke")</f>
        <v>G. Burke</v>
      </c>
      <c t="str" s="76" r="M86">
        <f>HYPERLINK("http://sofifa.com/en/fifa13winter/player/144419-didier-drogba","D. Drogba")</f>
        <v>D. Drogba</v>
      </c>
      <c s="52" r="N86"/>
    </row>
    <row r="87">
      <c s="52" r="A87"/>
      <c t="str" s="76" r="B87">
        <f>HYPERLINK("http://sofifa.com/en/fifa13winter/player/148611-jefferson-montero","J. Montero")</f>
        <v>J. Montero</v>
      </c>
      <c s="52" r="C87"/>
      <c s="52" r="D87"/>
      <c s="52" r="E87"/>
      <c s="52" r="F87"/>
      <c s="52" r="G87"/>
      <c s="52" r="H87"/>
      <c s="52" r="I87"/>
      <c s="52" r="J87"/>
      <c s="52" r="K87"/>
      <c t="str" s="76" r="L87">
        <f>HYPERLINK("http://sofifa.com/en/fifa13winter/player/148972-golgol-mebrahtu","G. Mebrahtu")</f>
        <v>G. Mebrahtu</v>
      </c>
      <c t="str" s="76" r="M87">
        <f>HYPERLINK("http://sofifa.com/en/fifa13winter/player/149492-dario-dumic","D. Dumić")</f>
        <v>D. Dumić</v>
      </c>
      <c s="52" r="N87"/>
    </row>
    <row r="88">
      <c s="52" r="A88"/>
      <c t="str" s="76" r="B88">
        <f>HYPERLINK("http://sofifa.com/en/fifa13winter/player/147825-juan-carlos-paredes","J. Paredes")</f>
        <v>J. Paredes</v>
      </c>
      <c s="52" r="C88"/>
      <c s="52" r="D88"/>
      <c s="52" r="E88"/>
      <c s="52" r="F88"/>
      <c s="52" r="G88"/>
      <c s="52" r="H88"/>
      <c s="52" r="I88"/>
      <c s="52" r="J88"/>
      <c s="52" r="K88"/>
      <c t="str" s="76" r="L88">
        <f>HYPERLINK("http://sofifa.com/en/fifa13winter/player/146263-guillermo-rojas","G. Rojas")</f>
        <v>G. Rojas</v>
      </c>
      <c t="str" s="76" r="M88">
        <f>HYPERLINK("http://sofifa.com/en/fifa13winter/player/145969-dickson-etuhu","D. Etuhu")</f>
        <v>D. Etuhu</v>
      </c>
      <c s="52" r="N88"/>
    </row>
    <row r="89">
      <c s="52" r="A89"/>
      <c t="str" s="76" r="B89">
        <f>HYPERLINK("http://sofifa.com/en/fifa13winter/player/148532-joao-rojas","J. Rojas")</f>
        <v>J. Rojas</v>
      </c>
      <c s="52" r="C89"/>
      <c s="52" r="D89"/>
      <c s="52" r="E89"/>
      <c s="52" r="F89"/>
      <c s="52" r="G89"/>
      <c s="52" r="H89"/>
      <c s="52" r="I89"/>
      <c s="52" r="J89"/>
      <c s="52" r="K89"/>
      <c t="str" s="76" r="L89">
        <f>HYPERLINK("http://sofifa.com/en/fifa13winter/player/147783-gervais-yao-kouassi","Gervinho")</f>
        <v>Gervinho</v>
      </c>
      <c t="str" s="76" r="M89">
        <f>HYPERLINK("http://sofifa.com/en/fifa13winter/player/146489-dinko-felic","D. Felić")</f>
        <v>D. Felić</v>
      </c>
      <c s="52" r="N89"/>
    </row>
    <row r="90">
      <c s="52" r="A90"/>
      <c t="str" s="76" r="B90">
        <f>HYPERLINK("http://sofifa.com/en/fifa13winter/player/148830-johnny-russell","J. Russell")</f>
        <v>J. Russell</v>
      </c>
      <c s="52" r="C90"/>
      <c s="52" r="D90"/>
      <c s="52" r="E90"/>
      <c s="52" r="F90"/>
      <c s="52" r="G90"/>
      <c s="52" r="H90"/>
      <c s="52" r="I90"/>
      <c s="52" r="J90"/>
      <c s="52" r="K90"/>
      <c t="str" s="76" r="L90">
        <f>HYPERLINK("http://sofifa.com/en/fifa13winter/player/149190-ibrahima-conte","I. Conté")</f>
        <v>I. Conté</v>
      </c>
      <c t="str" s="76" r="M90">
        <f>HYPERLINK("http://sofifa.com/en/fifa13winter/player/149200-daniel-ginczek","D. Ginczek")</f>
        <v>D. Ginczek</v>
      </c>
      <c s="52" r="N90"/>
    </row>
    <row r="91">
      <c s="52" r="A91"/>
      <c t="str" s="76" r="B91">
        <f>HYPERLINK("http://sofifa.com/en/fifa13winter/player/149664-jon-taylor","J. Taylor")</f>
        <v>J. Taylor</v>
      </c>
      <c s="52" r="C91"/>
      <c s="52" r="D91"/>
      <c s="52" r="E91"/>
      <c s="52" r="F91"/>
      <c s="52" r="G91"/>
      <c s="52" r="H91"/>
      <c s="52" r="I91"/>
      <c s="52" r="J91"/>
      <c s="52" r="K91"/>
      <c t="str" s="76" r="L91">
        <f>HYPERLINK("http://sofifa.com/en/fifa13winter/player/149029-ilkay-gundogan","I. Gündoğan")</f>
        <v>I. Gündoğan</v>
      </c>
      <c t="str" s="76" r="M91">
        <f>HYPERLINK("http://sofifa.com/en/fifa13winter/player/146636-dejan-kelhar","D. Kelhar")</f>
        <v>D. Kelhar</v>
      </c>
      <c s="52" r="N91"/>
    </row>
    <row r="92">
      <c s="52" r="A92"/>
      <c t="str" s="76" r="B92">
        <f>HYPERLINK("http://sofifa.com/en/fifa13winter/player/148519-jonathan-tinhan","J. Tinhan")</f>
        <v>J. Tinhan</v>
      </c>
      <c s="52" r="C92"/>
      <c s="52" r="D92"/>
      <c s="52" r="E92"/>
      <c s="52" r="F92"/>
      <c s="52" r="G92"/>
      <c s="52" r="H92"/>
      <c s="52" r="I92"/>
      <c s="52" r="J92"/>
      <c s="52" r="K92"/>
      <c t="str" s="76" r="L92">
        <f>HYPERLINK("http://sofifa.com/en/fifa13winter/player/148113-ibrahima-traore","I. Traoré")</f>
        <v>I. Traoré</v>
      </c>
      <c t="str" s="76" r="M92">
        <f>HYPERLINK("http://sofifa.com/en/fifa13winter/player/145325-djibril-konate","D. Konaté")</f>
        <v>D. Konaté</v>
      </c>
      <c s="52" r="N92"/>
    </row>
    <row r="93">
      <c s="52" r="A93"/>
      <c t="str" s="76" r="B93">
        <f>HYPERLINK("http://sofifa.com/en/fifa13winter/player/147231-jesus-navas-gonzalez","Jesús Navas")</f>
        <v>Jesús Navas</v>
      </c>
      <c s="52" r="C93"/>
      <c s="52" r="D93"/>
      <c s="52" r="E93"/>
      <c s="52" r="F93"/>
      <c s="52" r="G93"/>
      <c s="52" r="H93"/>
      <c s="52" r="I93"/>
      <c s="52" r="J93"/>
      <c s="52" r="K93"/>
      <c t="str" s="76" r="L93">
        <f>HYPERLINK("http://sofifa.com/en/fifa13winter/player/146545-ikechukwu-uche","I. Uche")</f>
        <v>I. Uche</v>
      </c>
      <c t="str" s="76" r="M93">
        <f>HYPERLINK("http://sofifa.com/en/fifa13winter/player/148553-dejan-lovren","D. Lovren")</f>
        <v>D. Lovren</v>
      </c>
      <c s="52" r="N93"/>
    </row>
    <row r="94">
      <c s="52" r="A94"/>
      <c t="str" s="76" r="B94">
        <f>HYPERLINK("http://sofifa.com/en/fifa13winter/player/147768-jonathan-pereira-rodriguez","Jonathan Pereira")</f>
        <v>Jonathan Pereira</v>
      </c>
      <c s="52" r="C94"/>
      <c s="52" r="D94"/>
      <c s="52" r="E94"/>
      <c s="52" r="F94"/>
      <c s="52" r="G94"/>
      <c s="52" r="H94"/>
      <c s="52" r="I94"/>
      <c s="52" r="J94"/>
      <c s="52" r="K94"/>
      <c t="str" s="76" r="L94">
        <f>HYPERLINK("http://sofifa.com/en/fifa13winter/player/148743-ishmael-yartey","I. Yartey")</f>
        <v>I. Yartey</v>
      </c>
      <c t="str" s="76" r="M94">
        <f>HYPERLINK("http://sofifa.com/en/fifa13winter/player/144079-daniel-majstorovic","D. Majstorović")</f>
        <v>D. Majstorović</v>
      </c>
      <c s="52" r="N94"/>
    </row>
    <row r="95">
      <c s="52" r="A95"/>
      <c t="str" s="76" r="B95">
        <f>HYPERLINK("http://sofifa.com/en/fifa13winter/player/148447-jordi-alba-ramos","Jordi Alba")</f>
        <v>Jordi Alba</v>
      </c>
      <c s="52" r="C95"/>
      <c s="52" r="D95"/>
      <c s="52" r="E95"/>
      <c s="52" r="F95"/>
      <c s="52" r="G95"/>
      <c s="52" r="H95"/>
      <c s="52" r="I95"/>
      <c s="52" r="J95"/>
      <c s="52" r="K95"/>
      <c t="str" s="76" r="L95">
        <f>HYPERLINK("http://sofifa.com/en/fifa13winter/player/147849-iago-aspas-juncal","Iago Aspas")</f>
        <v>Iago Aspas</v>
      </c>
      <c t="str" s="76" r="M95">
        <f>HYPERLINK("http://sofifa.com/en/fifa13winter/player/148911-daniele-mori","D. Mori")</f>
        <v>D. Mori</v>
      </c>
      <c s="52" r="N95"/>
    </row>
    <row r="96">
      <c s="52" r="A96"/>
      <c t="str" s="76" r="B96">
        <f>HYPERLINK("http://sofifa.com/en/fifa13winter/player/147678-jose-maria-callejon-bueno","José Callejón")</f>
        <v>José Callejón</v>
      </c>
      <c s="52" r="C96"/>
      <c s="52" r="D96"/>
      <c s="52" r="E96"/>
      <c s="52" r="F96"/>
      <c s="52" r="G96"/>
      <c s="52" r="H96"/>
      <c s="52" r="I96"/>
      <c s="52" r="J96"/>
      <c s="52" r="K96"/>
      <c t="str" s="76" r="L96">
        <f>HYPERLINK("http://sofifa.com/en/fifa13winter/player/148774-javier-aquino","J. Aquino")</f>
        <v>J. Aquino</v>
      </c>
      <c t="str" s="76" r="M96">
        <f>HYPERLINK("http://sofifa.com/en/fifa13winter/player/145113-davide-moscardelli","D. Moscardelli")</f>
        <v>D. Moscardelli</v>
      </c>
      <c s="52" r="N96"/>
    </row>
    <row r="97">
      <c s="52" r="A97"/>
      <c t="str" s="76" r="B97">
        <f>HYPERLINK("http://sofifa.com/en/fifa13winter/player/148089-khalid-al-ghamdi","K. Al Ghamdi")</f>
        <v>K. Al Ghamdi</v>
      </c>
      <c s="52" r="C97"/>
      <c s="52" r="D97"/>
      <c s="52" r="E97"/>
      <c s="52" r="F97"/>
      <c s="52" r="G97"/>
      <c s="52" r="H97"/>
      <c s="52" r="I97"/>
      <c s="52" r="J97"/>
      <c s="52" r="K97"/>
      <c t="str" s="76" r="L97">
        <f>HYPERLINK("http://sofifa.com/en/fifa13winter/player/150274-jean-paul-boetius","J. Boëtius")</f>
        <v>J. Boëtius</v>
      </c>
      <c t="str" s="76" r="M97">
        <f>HYPERLINK("http://sofifa.com/en/fifa13winter/player/145946-daniel-murray","D. Murray")</f>
        <v>D. Murray</v>
      </c>
      <c s="52" r="N97"/>
    </row>
    <row r="98">
      <c s="52" r="A98"/>
      <c t="str" s="76" r="B98">
        <f>HYPERLINK("http://sofifa.com/en/fifa13winter/player/149602-kwabena-appiah-kubi","K. Appiah-Kubi")</f>
        <v>K. Appiah-Kubi</v>
      </c>
      <c s="52" r="C98"/>
      <c s="52" r="D98"/>
      <c s="52" r="E98"/>
      <c s="52" r="F98"/>
      <c s="52" r="G98"/>
      <c s="52" r="H98"/>
      <c s="52" r="I98"/>
      <c s="52" r="J98"/>
      <c s="52" r="K98"/>
      <c t="str" s="76" r="L98">
        <f>HYPERLINK("http://sofifa.com/en/fifa13winter/player/150395-jonson-clarke-harris","J. Clarke-Harris")</f>
        <v>J. Clarke-Harris</v>
      </c>
      <c t="str" s="76" r="M98">
        <f>HYPERLINK("http://sofifa.com/en/fifa13winter/player/147035-diego-novaretti","D. Novaretti")</f>
        <v>D. Novaretti</v>
      </c>
      <c s="52" r="N98"/>
    </row>
    <row r="99">
      <c s="52" r="A99"/>
      <c t="str" s="76" r="B99">
        <f>HYPERLINK("http://sofifa.com/en/fifa13winter/player/147954-kebba-ceesay","K. Ceesay")</f>
        <v>K. Ceesay</v>
      </c>
      <c s="52" r="C99"/>
      <c s="52" r="D99"/>
      <c s="52" r="E99"/>
      <c s="52" r="F99"/>
      <c s="52" r="G99"/>
      <c s="52" r="H99"/>
      <c s="52" r="I99"/>
      <c s="52" r="J99"/>
      <c s="52" r="K99"/>
      <c t="str" s="76" r="L99">
        <f>HYPERLINK("http://sofifa.com/en/fifa13winter/player/148157-juan-cuevas","J. Cuevas")</f>
        <v>J. Cuevas</v>
      </c>
      <c t="str" s="76" r="M99">
        <f>HYPERLINK("http://sofifa.com/en/fifa13winter/player/149499-diego-polenta","D. Polenta")</f>
        <v>D. Polenta</v>
      </c>
      <c s="52" r="N99"/>
    </row>
    <row r="100">
      <c s="52" r="A100"/>
      <c t="str" s="76" r="B100">
        <f>HYPERLINK("http://sofifa.com/en/fifa13winter/player/148424-kennedy-igboananike","K. Igboananike")</f>
        <v>K. Igboananike</v>
      </c>
      <c s="52" r="C100"/>
      <c s="52" r="D100"/>
      <c s="52" r="E100"/>
      <c s="52" r="F100"/>
      <c s="52" r="G100"/>
      <c s="52" r="H100"/>
      <c s="52" r="I100"/>
      <c s="52" r="J100"/>
      <c s="52" r="K100"/>
      <c t="str" s="76" r="L100">
        <f>HYPERLINK("http://sofifa.com/en/fifa13winter/player/148348-james-dayton","J. Dayton")</f>
        <v>J. Dayton</v>
      </c>
      <c t="str" s="76" r="M100">
        <f>HYPERLINK("http://sofifa.com/en/fifa13winter/player/146389-dzenan-radoncic","D. Radončić")</f>
        <v>D. Radončić</v>
      </c>
      <c s="52" r="N100"/>
    </row>
    <row r="101">
      <c s="52" r="A101"/>
      <c t="str" s="76" r="B101">
        <f>HYPERLINK("http://sofifa.com/en/fifa13winter/player/150557-kekuta-manneh","K. Manneh")</f>
        <v>K. Manneh</v>
      </c>
      <c s="52" r="C101"/>
      <c s="52" r="D101"/>
      <c s="52" r="E101"/>
      <c s="52" r="F101"/>
      <c s="52" r="G101"/>
      <c s="52" r="H101"/>
      <c s="52" r="I101"/>
      <c s="52" r="J101"/>
      <c s="52" r="K101"/>
      <c t="str" s="76" r="L101">
        <f>HYPERLINK("http://sofifa.com/en/fifa13winter/player/149042-jiloan-hamad","J. Hamad")</f>
        <v>J. Hamad</v>
      </c>
      <c t="str" s="76" r="M101">
        <f>HYPERLINK("http://sofifa.com/en/fifa13winter/player/149264-devon-sandoval","D. Sandoval")</f>
        <v>D. Sandoval</v>
      </c>
      <c s="52" r="N101"/>
    </row>
    <row r="102">
      <c s="52" r="A102"/>
      <c t="str" s="76" r="B102">
        <f>HYPERLINK("http://sofifa.com/en/fifa13winter/player/148431-kensuke-nagai","K. Nagai")</f>
        <v>K. Nagai</v>
      </c>
      <c s="52" r="C102"/>
      <c s="52" r="D102"/>
      <c s="52" r="E102"/>
      <c s="52" r="F102"/>
      <c s="52" r="G102"/>
      <c s="52" r="H102"/>
      <c s="52" r="I102"/>
      <c s="52" r="J102"/>
      <c s="52" r="K102"/>
      <c t="str" s="76" r="L102">
        <f>HYPERLINK("http://sofifa.com/en/fifa13winter/player/147826-jonathan-hayes","J. Hayes")</f>
        <v>J. Hayes</v>
      </c>
      <c t="str" s="76" r="M102">
        <f>HYPERLINK("http://sofifa.com/en/fifa13winter/player/147323-daniel-schulz","D. Schulz")</f>
        <v>D. Schulz</v>
      </c>
      <c s="52" r="N102"/>
    </row>
    <row r="103">
      <c s="52" r="A103"/>
      <c t="str" s="76" r="B103">
        <f>HYPERLINK("http://sofifa.com/en/fifa13winter/player/148312-katuku-tshimanga","K. Tshimanga")</f>
        <v>K. Tshimanga</v>
      </c>
      <c s="52" r="C103"/>
      <c s="52" r="D103"/>
      <c s="52" r="E103"/>
      <c s="52" r="F103"/>
      <c s="52" r="G103"/>
      <c s="52" r="H103"/>
      <c s="52" r="I103"/>
      <c s="52" r="J103"/>
      <c s="52" r="K103"/>
      <c t="str" s="76" r="L103">
        <f>HYPERLINK("http://sofifa.com/en/fifa13winter/player/148069-jahmir-hyka","J. Hyka")</f>
        <v>J. Hyka</v>
      </c>
      <c t="str" s="76" r="M103">
        <f>HYPERLINK("http://sofifa.com/en/fifa13winter/player/145325-danny-shittu","D. Shittu")</f>
        <v>D. Shittu</v>
      </c>
      <c s="52" r="N103"/>
    </row>
    <row r="104">
      <c s="52" r="A104"/>
      <c t="str" s="76" r="B104">
        <f>HYPERLINK("http://sofifa.com/en/fifa13winter/player/148880-kyle-walker","K. Walker")</f>
        <v>K. Walker</v>
      </c>
      <c s="52" r="C104"/>
      <c s="52" r="D104"/>
      <c s="52" r="E104"/>
      <c s="52" r="F104"/>
      <c s="52" r="G104"/>
      <c s="52" r="H104"/>
      <c s="52" r="I104"/>
      <c s="52" r="J104"/>
      <c s="52" r="K104"/>
      <c t="str" s="76" r="L104">
        <f>HYPERLINK("http://sofifa.com/en/fifa13winter/player/149983-juan-manuel-iturbe","J. Iturbe")</f>
        <v>J. Iturbe</v>
      </c>
      <c t="str" s="76" r="M104">
        <f>HYPERLINK("http://sofifa.com/en/fifa13winter/player/148261-dimitris-siovas","D. Siovas")</f>
        <v>D. Siovas</v>
      </c>
      <c s="52" r="N104"/>
    </row>
    <row r="105">
      <c s="52" r="A105"/>
      <c t="str" s="76" r="B105">
        <f>HYPERLINK("http://sofifa.com/en/fifa13winter/player/147832-soo-il-kang","Kang Soo Il")</f>
        <v>Kang Soo Il</v>
      </c>
      <c s="52" r="C105"/>
      <c s="52" r="D105"/>
      <c s="52" r="E105"/>
      <c s="52" r="F105"/>
      <c s="52" r="G105"/>
      <c s="52" r="H105"/>
      <c s="52" r="I105"/>
      <c s="52" r="J105"/>
      <c s="52" r="K105"/>
      <c t="str" s="76" r="L105">
        <f>HYPERLINK("http://sofifa.com/en/fifa13winter/player/148973-jakub-kosecki","J. Kosecki")</f>
        <v>J. Kosecki</v>
      </c>
      <c t="str" s="76" r="M105">
        <f>HYPERLINK("http://sofifa.com/en/fifa13winter/player/149388-david-stephens","D. Stephens")</f>
        <v>D. Stephens</v>
      </c>
      <c s="52" r="N105"/>
    </row>
    <row r="106">
      <c s="52" r="A106"/>
      <c t="str" s="76" r="B106">
        <f>HYPERLINK("http://sofifa.com/en/fifa13winter/player/146218-kwang-suk-kim","Kim Kwang Suk")</f>
        <v>Kim Kwang Suk</v>
      </c>
      <c s="52" r="C106"/>
      <c s="52" r="D106"/>
      <c s="52" r="E106"/>
      <c s="52" r="F106"/>
      <c s="52" r="G106"/>
      <c s="52" r="H106"/>
      <c s="52" r="I106"/>
      <c s="52" r="J106"/>
      <c s="52" r="K106"/>
      <c t="str" s="76" r="L106">
        <f>HYPERLINK("http://sofifa.com/en/fifa13winter/player/145766-jo-kuffour","J. Kuffour")</f>
        <v>J. Kuffour</v>
      </c>
      <c t="str" s="76" r="M106">
        <f>HYPERLINK("http://sofifa.com/en/fifa13winter/player/144387-daniel-van-buyten","D. van Buyten")</f>
        <v>D. van Buyten</v>
      </c>
      <c s="52" r="N106"/>
    </row>
    <row r="107">
      <c s="52" r="A107"/>
      <c t="str" s="76" r="B107">
        <f>HYPERLINK("http://sofifa.com/en/fifa13winter/player/147330-young-sin-kim","Kim Young Sin")</f>
        <v>Kim Young Sin</v>
      </c>
      <c s="52" r="C107"/>
      <c s="52" r="D107"/>
      <c s="52" r="E107"/>
      <c s="52" r="F107"/>
      <c s="52" r="G107"/>
      <c s="52" r="H107"/>
      <c s="52" r="I107"/>
      <c s="52" r="J107"/>
      <c s="52" r="K107"/>
      <c t="str" s="76" r="L107">
        <f>HYPERLINK("http://sofifa.com/en/fifa13winter/player/149782-jody-lukoki","J. Lukoki")</f>
        <v>J. Lukoki</v>
      </c>
      <c t="str" s="76" r="M107">
        <f>HYPERLINK("http://sofifa.com/en/fifa13winter/player/148085-dave-winfield","D. Winfield")</f>
        <v>D. Winfield</v>
      </c>
      <c s="52" r="N107"/>
    </row>
    <row r="108">
      <c s="52" r="A108"/>
      <c t="str" s="76" r="B108">
        <f>HYPERLINK("http://sofifa.com/en/fifa13winter/player/147742-lhadji-badiane","L. Badiane")</f>
        <v>L. Badiane</v>
      </c>
      <c s="52" r="C108"/>
      <c s="52" r="D108"/>
      <c s="52" r="E108"/>
      <c s="52" r="F108"/>
      <c s="52" r="G108"/>
      <c s="52" r="H108"/>
      <c s="52" r="I108"/>
      <c s="52" r="J108"/>
      <c s="52" r="K108"/>
      <c t="str" s="76" r="L108">
        <f>HYPERLINK("http://sofifa.com/en/fifa13winter/player/149523-joao-plata","J. Plata")</f>
        <v>J. Plata</v>
      </c>
      <c t="str" s="76" r="M108">
        <f>HYPERLINK("http://sofifa.com/en/fifa13winter/player/148184-anderson-vital-da-silva","Dedé")</f>
        <v>Dedé</v>
      </c>
      <c s="52" r="N108"/>
    </row>
    <row r="109">
      <c s="52" r="A109"/>
      <c t="str" s="76" r="B109">
        <f>HYPERLINK("http://sofifa.com/en/fifa13winter/player/149552-lassane-bangoura","L. Bangoura")</f>
        <v>L. Bangoura</v>
      </c>
      <c s="52" r="C109"/>
      <c s="52" r="D109"/>
      <c s="52" r="E109"/>
      <c s="52" r="F109"/>
      <c s="52" r="G109"/>
      <c s="52" r="H109"/>
      <c s="52" r="I109"/>
      <c s="52" r="J109"/>
      <c s="52" r="K109"/>
      <c t="str" s="76" r="L109">
        <f>HYPERLINK("http://sofifa.com/en/fifa13winter/player/148371-javier-reina","J. Reina")</f>
        <v>J. Reina</v>
      </c>
      <c t="str" s="76" r="M109">
        <f>HYPERLINK("http://sofifa.com/en/fifa13winter/player/148282-diego-da-silva-costa","Diego Costa")</f>
        <v>Diego Costa</v>
      </c>
      <c s="52" r="N109"/>
    </row>
    <row r="110">
      <c s="52" r="A110"/>
      <c t="str" s="76" r="B110">
        <f>HYPERLINK("http://sofifa.com/en/fifa13winter/player/147811-lionel-messi","L. Messi")</f>
        <v>L. Messi</v>
      </c>
      <c s="52" r="C110"/>
      <c s="52" r="D110"/>
      <c s="52" r="E110"/>
      <c s="52" r="F110"/>
      <c s="52" r="G110"/>
      <c s="52" r="H110"/>
      <c s="52" r="I110"/>
      <c s="52" r="J110"/>
      <c s="52" r="K110"/>
      <c t="str" s="76" r="L110">
        <f>HYPERLINK("http://sofifa.com/en/fifa13winter/player/148532-joao-rojas","J. Rojas")</f>
        <v>J. Rojas</v>
      </c>
      <c t="str" s="76" r="M110">
        <f>HYPERLINK("http://sofifa.com/en/fifa13winter/player/145272-severino-durval-da-silva","Durval")</f>
        <v>Durval</v>
      </c>
      <c s="52" r="N110"/>
    </row>
    <row r="111">
      <c s="52" r="A111"/>
      <c t="str" s="76" r="B111">
        <f>HYPERLINK("http://sofifa.com/en/fifa13winter/player/149205-luis-muriel","L. Muriel")</f>
        <v>L. Muriel</v>
      </c>
      <c s="52" r="C111"/>
      <c s="52" r="D111"/>
      <c s="52" r="E111"/>
      <c s="52" r="F111"/>
      <c s="52" r="G111"/>
      <c s="52" r="H111"/>
      <c s="52" r="I111"/>
      <c s="52" r="J111"/>
      <c s="52" r="K111"/>
      <c t="str" s="76" r="L111">
        <f>HYPERLINK("http://sofifa.com/en/fifa13winter/player/147862-juan-ignacio-surraco","J. Surraco")</f>
        <v>J. Surraco</v>
      </c>
      <c t="str" s="76" r="M111">
        <f>HYPERLINK("http://sofifa.com/en/fifa13winter/player/144088-erjon-bogdani","E. Bogdani")</f>
        <v>E. Bogdani</v>
      </c>
      <c s="52" r="N111"/>
    </row>
    <row r="112">
      <c s="52" r="A112"/>
      <c t="str" s="76" r="B112">
        <f>HYPERLINK("http://sofifa.com/en/fifa13winter/player/148988-luciano-narsingh","L. Narsingh")</f>
        <v>L. Narsingh</v>
      </c>
      <c s="52" r="C112"/>
      <c s="52" r="D112"/>
      <c s="52" r="E112"/>
      <c s="52" r="F112"/>
      <c s="52" r="G112"/>
      <c s="52" r="H112"/>
      <c s="52" r="I112"/>
      <c s="52" r="J112"/>
      <c s="52" r="K112"/>
      <c t="str" s="76" r="L112">
        <f>HYPERLINK("http://sofifa.com/en/fifa13winter/player/148431-joe-thompson","J. Thompson")</f>
        <v>J. Thompson</v>
      </c>
      <c t="str" s="76" r="M112">
        <f>HYPERLINK("http://sofifa.com/en/fifa13winter/player/145199-eddy-bosnar","E. Bosnar")</f>
        <v>E. Bosnar</v>
      </c>
      <c s="52" r="N112"/>
    </row>
    <row r="113">
      <c s="52" r="A113"/>
      <c t="str" s="76" r="B113">
        <f>HYPERLINK("http://sofifa.com/en/fifa13winter/player/147638-loic-remy","L. Rémy")</f>
        <v>L. Rémy</v>
      </c>
      <c s="52" r="C113"/>
      <c s="52" r="D113"/>
      <c s="52" r="E113"/>
      <c s="52" r="F113"/>
      <c s="52" r="G113"/>
      <c s="52" r="H113"/>
      <c s="52" r="I113"/>
      <c s="52" r="J113"/>
      <c s="52" r="K113"/>
      <c t="str" s="76" r="L113">
        <f>HYPERLINK("http://sofifa.com/en/fifa13winter/player/148905-ju-tae-yun","J. Yun")</f>
        <v>J. Yun</v>
      </c>
      <c t="str" s="76" r="M113">
        <f>HYPERLINK("http://sofifa.com/en/fifa13winter/player/148570-edgar-cani","E. Çani")</f>
        <v>E. Çani</v>
      </c>
      <c s="52" r="N113"/>
    </row>
    <row r="114">
      <c s="52" r="A114"/>
      <c t="str" s="76" r="B114">
        <f>HYPERLINK("http://sofifa.com/en/fifa13winter/player/146676-hyun-jin-lee","Lee Hyun Jin")</f>
        <v>Lee Hyun Jin</v>
      </c>
      <c s="52" r="C114"/>
      <c s="52" r="D114"/>
      <c s="52" r="E114"/>
      <c s="52" r="F114"/>
      <c s="52" r="G114"/>
      <c s="52" r="H114"/>
      <c s="52" r="I114"/>
      <c s="52" r="J114"/>
      <c s="52" r="K114"/>
      <c t="str" s="76" r="L114">
        <f>HYPERLINK("http://sofifa.com/en/fifa13winter/player/149885-jese-rodriguez-ruiz","Jesé Rodríguez")</f>
        <v>Jesé Rodríguez</v>
      </c>
      <c t="str" s="76" r="M114">
        <f>HYPERLINK("http://sofifa.com/en/fifa13winter/player/145154-elimane-coulibaly","E. Coulibaly")</f>
        <v>E. Coulibaly</v>
      </c>
      <c s="52" r="N114"/>
    </row>
    <row r="115">
      <c s="52" r="A115"/>
      <c t="str" s="76" r="B115">
        <f>HYPERLINK("http://sofifa.com/en/fifa13winter/player/147007-keun-ho-lee","Lee Keun Ho")</f>
        <v>Lee Keun Ho</v>
      </c>
      <c s="52" r="C115"/>
      <c s="52" r="D115"/>
      <c s="52" r="E115"/>
      <c s="52" r="F115"/>
      <c s="52" r="G115"/>
      <c s="52" r="H115"/>
      <c s="52" r="I115"/>
      <c s="52" r="J115"/>
      <c s="52" r="K115"/>
      <c t="str" s="76" r="L115">
        <f>HYPERLINK("http://sofifa.com/en/fifa13winter/player/147231-jesus-navas-gonzalez","Jesús Navas")</f>
        <v>Jesús Navas</v>
      </c>
      <c t="str" s="76" r="M115">
        <f>HYPERLINK("http://sofifa.com/en/fifa13winter/player/147766-emmanuel-emenike","E. Emenike")</f>
        <v>E. Emenike</v>
      </c>
      <c s="52" r="N115"/>
    </row>
    <row r="116">
      <c s="52" r="A116"/>
      <c t="str" s="76" r="B116">
        <f>HYPERLINK("http://sofifa.com/en/fifa13winter/player/145767-sang-ho-lee","Lee Sang Ho")</f>
        <v>Lee Sang Ho</v>
      </c>
      <c s="52" r="C116"/>
      <c s="52" r="D116"/>
      <c s="52" r="E116"/>
      <c s="52" r="F116"/>
      <c s="52" r="G116"/>
      <c s="52" r="H116"/>
      <c s="52" r="I116"/>
      <c s="52" r="J116"/>
      <c s="52" r="K116"/>
      <c t="str" s="76" r="L116">
        <f>HYPERLINK("http://sofifa.com/en/fifa13winter/player/148641-jonathan-viera-ramos","Jonathan Viera")</f>
        <v>Jonathan Viera</v>
      </c>
      <c t="str" s="76" r="M116">
        <f>HYPERLINK("http://sofifa.com/en/fifa13winter/player/144360-emile-heskey","E. Heskey")</f>
        <v>E. Heskey</v>
      </c>
      <c s="52" r="N116"/>
    </row>
    <row r="117">
      <c s="52" r="A117"/>
      <c t="str" s="76" r="B117">
        <f>HYPERLINK("http://sofifa.com/en/fifa13winter/player/149688-lucas-rodrigues-m-silva","Lucas")</f>
        <v>Lucas</v>
      </c>
      <c s="52" r="C117"/>
      <c s="52" r="D117"/>
      <c s="52" r="E117"/>
      <c s="52" r="F117"/>
      <c s="52" r="G117"/>
      <c s="52" r="H117"/>
      <c s="52" r="I117"/>
      <c s="52" r="J117"/>
      <c s="52" r="K117"/>
      <c t="str" s="76" r="L117">
        <f>HYPERLINK("http://sofifa.com/en/fifa13winter/player/148447-jordi-alba-ramos","Jordi Alba")</f>
        <v>Jordi Alba</v>
      </c>
      <c t="str" s="76" r="M117">
        <f>HYPERLINK("http://sofifa.com/en/fifa13winter/player/148412-even-hovland","E. Hovland")</f>
        <v>E. Hovland</v>
      </c>
      <c s="52" r="N117"/>
    </row>
    <row r="118">
      <c s="52" r="A118"/>
      <c t="str" s="76" r="B118">
        <f>HYPERLINK("http://sofifa.com/en/fifa13winter/player/147802-luis-carlos-da-conceicao-lima","Luís Carlos")</f>
        <v>Luís Carlos</v>
      </c>
      <c s="52" r="C118"/>
      <c s="52" r="D118"/>
      <c s="52" r="E118"/>
      <c s="52" r="F118"/>
      <c s="52" r="G118"/>
      <c s="52" r="H118"/>
      <c s="52" r="I118"/>
      <c s="52" r="J118"/>
      <c s="52" r="K118"/>
      <c t="str" s="76" r="L118">
        <f>HYPERLINK("http://sofifa.com/en/fifa13winter/player/148120-juan-manuel-mata-garcia","Juan Mata")</f>
        <v>Juan Mata</v>
      </c>
      <c t="str" s="76" r="M118">
        <f>HYPERLINK("http://sofifa.com/en/fifa13winter/player/146631-eddie-johnson","E. Johnson")</f>
        <v>E. Johnson</v>
      </c>
      <c s="52" r="N118"/>
    </row>
    <row r="119">
      <c s="52" r="A119"/>
      <c t="str" s="76" r="B119">
        <f>HYPERLINK("http://sofifa.com/en/fifa13winter/player/149047-mathis-bolly","M. Bolly")</f>
        <v>M. Bolly</v>
      </c>
      <c s="52" r="C119"/>
      <c s="52" r="D119"/>
      <c s="52" r="E119"/>
      <c s="52" r="F119"/>
      <c s="52" r="G119"/>
      <c s="52" r="H119"/>
      <c s="52" r="I119"/>
      <c s="52" r="J119"/>
      <c s="52" r="K119"/>
      <c t="str" s="76" r="L119">
        <f>HYPERLINK("http://sofifa.com/en/fifa13winter/player/149020-kalif-alhassan","K. Alhassan")</f>
        <v>K. Alhassan</v>
      </c>
      <c t="str" s="76" r="M119">
        <f>HYPERLINK("http://sofifa.com/en/fifa13winter/player/147274-elia-legati","E. Legati")</f>
        <v>E. Legati</v>
      </c>
      <c s="52" r="N119"/>
    </row>
    <row r="120">
      <c s="52" r="A120"/>
      <c t="str" s="76" r="B120">
        <f>HYPERLINK("http://sofifa.com/en/fifa13winter/player/149145-marco-dalessandro","M. D'Alessandro")</f>
        <v>M. D'Alessandro</v>
      </c>
      <c s="52" r="C120"/>
      <c s="52" r="D120"/>
      <c s="52" r="E120"/>
      <c s="52" r="F120"/>
      <c s="52" r="G120"/>
      <c s="52" r="H120"/>
      <c s="52" r="I120"/>
      <c s="52" r="J120"/>
      <c s="52" r="K120"/>
      <c t="str" s="76" r="L120">
        <f>HYPERLINK("http://sofifa.com/en/fifa13winter/player/149602-kwabena-appiah-kubi","K. Appiah-Kubi")</f>
        <v>K. Appiah-Kubi</v>
      </c>
      <c t="str" s="76" r="M120">
        <f>HYPERLINK("http://sofifa.com/en/fifa13winter/player/144674-emil-noll","E. Noll")</f>
        <v>E. Noll</v>
      </c>
      <c s="52" r="N120"/>
    </row>
    <row r="121">
      <c s="52" r="A121"/>
      <c t="str" s="76" r="B121">
        <f>HYPERLINK("http://sofifa.com/en/fifa13winter/player/148335-mana-dembele","M. Dembélé")</f>
        <v>M. Dembélé</v>
      </c>
      <c s="52" r="C121"/>
      <c s="52" r="D121"/>
      <c s="52" r="E121"/>
      <c s="52" r="F121"/>
      <c s="52" r="G121"/>
      <c s="52" r="H121"/>
      <c s="52" r="I121"/>
      <c s="52" r="J121"/>
      <c s="52" r="K121"/>
      <c t="str" s="76" r="L121">
        <f>HYPERLINK("http://sofifa.com/en/fifa13winter/player/148984-kyle-bennett","K. Bennett")</f>
        <v>K. Bennett</v>
      </c>
      <c t="str" s="76" r="M121">
        <f>HYPERLINK("http://sofifa.com/en/fifa13winter/player/145210-espen-bugge-pettersen","E. Pettersen")</f>
        <v>E. Pettersen</v>
      </c>
      <c s="52" r="N121"/>
    </row>
    <row r="122">
      <c s="52" r="A122"/>
      <c t="str" s="76" r="B122">
        <f>HYPERLINK("http://sofifa.com/en/fifa13winter/player/146732-mark-gonzalez","M. González")</f>
        <v>M. González</v>
      </c>
      <c s="52" r="C122"/>
      <c s="52" r="D122"/>
      <c s="52" r="E122"/>
      <c s="52" r="F122"/>
      <c s="52" r="G122"/>
      <c s="52" r="H122"/>
      <c s="52" r="I122"/>
      <c s="52" r="J122"/>
      <c s="52" r="K122"/>
      <c t="str" s="76" r="L122">
        <f>HYPERLINK("http://sofifa.com/en/fifa13winter/player/148424-kennedy-igboananike","K. Igboananike")</f>
        <v>K. Igboananike</v>
      </c>
      <c t="str" s="76" r="M122">
        <f>HYPERLINK("http://sofifa.com/en/fifa13winter/player/146191-emanuel-pogatetz","E. Pogatetz")</f>
        <v>E. Pogatetz</v>
      </c>
      <c s="52" r="N122"/>
    </row>
    <row r="123">
      <c s="52" r="A123"/>
      <c t="str" s="76" r="B123">
        <f>HYPERLINK("http://sofifa.com/en/fifa13winter/player/147970-max-alain-gradel","M. Gradel")</f>
        <v>M. Gradel</v>
      </c>
      <c s="52" r="C123"/>
      <c s="52" r="D123"/>
      <c s="52" r="E123"/>
      <c s="52" r="F123"/>
      <c s="52" r="G123"/>
      <c s="52" r="H123"/>
      <c s="52" r="I123"/>
      <c s="52" r="J123"/>
      <c s="52" r="K123"/>
      <c t="str" s="76" r="L123">
        <f>HYPERLINK("http://sofifa.com/en/fifa13winter/player/149076-kazenga-lualua","K. LuaLua")</f>
        <v>K. LuaLua</v>
      </c>
      <c t="str" s="76" r="M123">
        <f>HYPERLINK("http://sofifa.com/en/fifa13winter/player/145921-enoch-showunmi","E. Showunmi")</f>
        <v>E. Showunmi</v>
      </c>
      <c s="52" r="N123"/>
    </row>
    <row r="124">
      <c s="52" r="A124"/>
      <c t="str" s="76" r="B124">
        <f>HYPERLINK("http://sofifa.com/en/fifa13winter/player/148237-mike-konnecke","M. Könnecke")</f>
        <v>M. Könnecke</v>
      </c>
      <c s="52" r="C124"/>
      <c s="52" r="D124"/>
      <c s="52" r="E124"/>
      <c s="52" r="F124"/>
      <c s="52" r="G124"/>
      <c s="52" r="H124"/>
      <c s="52" r="I124"/>
      <c s="52" r="J124"/>
      <c s="52" r="K124"/>
      <c t="str" s="76" r="L124">
        <f>HYPERLINK("http://sofifa.com/en/fifa13winter/player/147779-krzysztof-maczynski","K. Mączyński")</f>
        <v>K. Mączyński</v>
      </c>
      <c t="str" s="76" r="M124">
        <f>HYPERLINK("http://sofifa.com/en/fifa13winter/player/148189-edvard-skagestad","E. Skagestad")</f>
        <v>E. Skagestad</v>
      </c>
      <c s="52" r="N124"/>
    </row>
    <row r="125">
      <c s="52" r="A125"/>
      <c t="str" s="76" r="B125">
        <f>HYPERLINK("http://sofifa.com/en/fifa13winter/player/147694-maximiliano-moralez","M. Moralez")</f>
        <v>M. Moralez</v>
      </c>
      <c s="52" r="C125"/>
      <c s="52" r="D125"/>
      <c s="52" r="E125"/>
      <c s="52" r="F125"/>
      <c s="52" r="G125"/>
      <c s="52" r="H125"/>
      <c s="52" r="I125"/>
      <c s="52" r="J125"/>
      <c s="52" r="K125"/>
      <c t="str" s="76" r="L125">
        <f>HYPERLINK("http://sofifa.com/en/fifa13winter/player/149980-kelvin-mateus-de-oliveira","Kelvin")</f>
        <v>Kelvin</v>
      </c>
      <c t="str" s="76" r="M125">
        <f>HYPERLINK("http://sofifa.com/en/fifa13winter/player/147400-edson-jose-da-silva","Édson Silva")</f>
        <v>Édson Silva</v>
      </c>
      <c s="52" r="N125"/>
    </row>
    <row r="126">
      <c s="52" r="A126"/>
      <c t="str" s="76" r="B126">
        <f>HYPERLINK("http://sofifa.com/en/fifa13winter/player/149532-momar-ndoye","M. N'Doye")</f>
        <v>M. N'Doye</v>
      </c>
      <c s="52" r="C126"/>
      <c s="52" r="D126"/>
      <c s="52" r="E126"/>
      <c s="52" r="F126"/>
      <c s="52" r="G126"/>
      <c s="52" r="H126"/>
      <c s="52" r="I126"/>
      <c s="52" r="J126"/>
      <c s="52" r="K126"/>
      <c t="str" s="76" r="L126">
        <f>HYPERLINK("http://sofifa.com/en/fifa13winter/player/146444-chul-ho-kim","Kim Chul Ho")</f>
        <v>Kim Chul Ho</v>
      </c>
      <c t="str" s="76" r="M126">
        <f>HYPERLINK("http://sofifa.com/en/fifa13winter/player/148224-francesco-acerbi","F. Acerbi")</f>
        <v>F. Acerbi</v>
      </c>
      <c s="52" r="N126"/>
    </row>
    <row r="127">
      <c s="52" r="A127"/>
      <c t="str" s="76" r="B127">
        <f>HYPERLINK("http://sofifa.com/en/fifa13winter/player/149099-milosz-przybecki","M. Przybecki")</f>
        <v>M. Przybecki</v>
      </c>
      <c s="52" r="C127"/>
      <c s="52" r="D127"/>
      <c s="52" r="E127"/>
      <c s="52" r="F127"/>
      <c s="52" r="G127"/>
      <c s="52" r="H127"/>
      <c s="52" r="I127"/>
      <c s="52" r="J127"/>
      <c s="52" r="K127"/>
      <c t="str" s="76" r="L127">
        <f>HYPERLINK("http://sofifa.com/en/fifa13winter/player/147721-dong-suk-kim","Kim Dong Suk")</f>
        <v>Kim Dong Suk</v>
      </c>
      <c t="str" s="76" r="M127">
        <f>HYPERLINK("http://sofifa.com/en/fifa13winter/player/147206-francisco-amorebielsa","F. Amorebielsa")</f>
        <v>F. Amorebielsa</v>
      </c>
      <c s="52" r="N127"/>
    </row>
    <row r="128">
      <c s="52" r="A128"/>
      <c t="str" s="76" r="B128">
        <f>HYPERLINK("http://sofifa.com/en/fifa13winter/player/148518-marco-reus","M. Reus")</f>
        <v>M. Reus</v>
      </c>
      <c s="52" r="C128"/>
      <c s="52" r="D128"/>
      <c s="52" r="E128"/>
      <c s="52" r="F128"/>
      <c s="52" r="G128"/>
      <c s="52" r="H128"/>
      <c s="52" r="I128"/>
      <c s="52" r="J128"/>
      <c s="52" r="K128"/>
      <c t="str" s="76" r="L128">
        <f>HYPERLINK("http://sofifa.com/en/fifa13winter/player/147330-young-sin-kim","Kim Young Sin")</f>
        <v>Kim Young Sin</v>
      </c>
      <c t="str" s="76" r="M128">
        <f>HYPERLINK("http://sofifa.com/en/fifa13winter/player/146216-felix-araujo","F. Araujo")</f>
        <v>F. Araujo</v>
      </c>
      <c s="52" r="N128"/>
    </row>
    <row r="129">
      <c s="52" r="A129"/>
      <c t="str" s="76" r="B129">
        <f>HYPERLINK("http://sofifa.com/en/fifa13winter/player/149310-marco-rojas","M. Rojas")</f>
        <v>M. Rojas</v>
      </c>
      <c s="52" r="C129"/>
      <c s="52" r="D129"/>
      <c s="52" r="E129"/>
      <c s="52" r="F129"/>
      <c s="52" r="G129"/>
      <c s="52" r="H129"/>
      <c s="52" r="I129"/>
      <c s="52" r="J129"/>
      <c s="52" r="K129"/>
      <c t="str" s="76" r="L129">
        <f>HYPERLINK("http://sofifa.com/en/fifa13winter/player/149045-lalawele-atakora","L. Atakora")</f>
        <v>L. Atakora</v>
      </c>
      <c t="str" s="76" r="M129">
        <f>HYPERLINK("http://sofifa.com/en/fifa13winter/player/145500-felipe-baloy","F. Baloy")</f>
        <v>F. Baloy</v>
      </c>
      <c s="52" r="N129"/>
    </row>
    <row r="130">
      <c s="52" r="A130"/>
      <c t="str" s="76" r="B130">
        <f>HYPERLINK("http://sofifa.com/en/fifa13winter/player/147943-marco-sau","M. Sau")</f>
        <v>M. Sau</v>
      </c>
      <c s="52" r="C130"/>
      <c s="52" r="D130"/>
      <c s="52" r="E130"/>
      <c s="52" r="F130"/>
      <c s="52" r="G130"/>
      <c s="52" r="H130"/>
      <c s="52" r="I130"/>
      <c s="52" r="J130"/>
      <c s="52" r="K130"/>
      <c t="str" s="76" r="L130">
        <f>HYPERLINK("http://sofifa.com/en/fifa13winter/player/149552-lassane-bangoura","L. Bangoura")</f>
        <v>L. Bangoura</v>
      </c>
      <c t="str" s="76" r="M130">
        <f>HYPERLINK("http://sofifa.com/en/fifa13winter/player/144881-fabian-boll","F. Boll")</f>
        <v>F. Boll</v>
      </c>
      <c s="52" r="N130"/>
    </row>
    <row r="131">
      <c s="52" r="A131"/>
      <c t="str" s="76" r="B131">
        <f>HYPERLINK("http://sofifa.com/en/fifa13winter/player/148073-myles-weston","M. Weston")</f>
        <v>M. Weston</v>
      </c>
      <c s="52" r="C131"/>
      <c s="52" r="D131"/>
      <c s="52" r="E131"/>
      <c s="52" r="F131"/>
      <c s="52" r="G131"/>
      <c s="52" r="H131"/>
      <c s="52" r="I131"/>
      <c s="52" r="J131"/>
      <c s="52" r="K131"/>
      <c t="str" s="76" r="L131">
        <f>HYPERLINK("http://sofifa.com/en/fifa13winter/player/150181-leonardo-bittencourt","L. Bittencourt")</f>
        <v>L. Bittencourt</v>
      </c>
      <c t="str" s="76" r="M131">
        <f>HYPERLINK("http://sofifa.com/en/fifa13winter/player/147844-frederic-bong","F. Bong")</f>
        <v>F. Bong</v>
      </c>
      <c s="52" r="N131"/>
    </row>
    <row r="132">
      <c s="52" r="A132"/>
      <c t="str" s="76" r="B132">
        <f>HYPERLINK("http://sofifa.com/en/fifa13winter/player/147399-marvell-wynne","M. Wynne")</f>
        <v>M. Wynne</v>
      </c>
      <c s="52" r="C132"/>
      <c s="52" r="D132"/>
      <c s="52" r="E132"/>
      <c s="52" r="F132"/>
      <c s="52" r="G132"/>
      <c s="52" r="H132"/>
      <c s="52" r="I132"/>
      <c s="52" r="J132"/>
      <c s="52" r="K132"/>
      <c t="str" s="76" r="L132">
        <f>HYPERLINK("http://sofifa.com/en/fifa13winter/player/147528-luis-fuentes","L. Fuentes")</f>
        <v>L. Fuentes</v>
      </c>
      <c t="str" s="76" r="M132">
        <f>HYPERLINK("http://sofifa.com/en/fifa13winter/player/148250-felipe-caicedo","F. Caicedo")</f>
        <v>F. Caicedo</v>
      </c>
      <c s="52" r="N132"/>
    </row>
    <row r="133">
      <c s="52" r="A133"/>
      <c t="str" s="76" r="B133">
        <f>HYPERLINK("http://sofifa.com/en/fifa13winter/player/148781-maicon-marques-bittencourt","Maicon")</f>
        <v>Maicon</v>
      </c>
      <c s="52" r="C133"/>
      <c s="52" r="D133"/>
      <c s="52" r="E133"/>
      <c s="52" r="F133"/>
      <c s="52" r="G133"/>
      <c s="52" r="H133"/>
      <c s="52" r="I133"/>
      <c s="52" r="J133"/>
      <c s="52" r="K133"/>
      <c t="str" s="76" r="L133">
        <f>HYPERLINK("http://sofifa.com/en/fifa13winter/player/148013-lewis-grabban","L. Grabban")</f>
        <v>L. Grabban</v>
      </c>
      <c t="str" s="76" r="M133">
        <f>HYPERLINK("http://sofifa.com/en/fifa13winter/player/146805-farid-cheklam","F. Cheklam")</f>
        <v>F. Cheklam</v>
      </c>
      <c s="52" r="N133"/>
    </row>
    <row r="134">
      <c s="52" r="A134"/>
      <c t="str" s="76" r="B134">
        <f>HYPERLINK("http://sofifa.com/en/fifa13winter/player/148217-maikon-fernando-souza-leite","Maikon Leite")</f>
        <v>Maikon Leite</v>
      </c>
      <c s="52" r="C134"/>
      <c s="52" r="D134"/>
      <c s="52" r="E134"/>
      <c s="52" r="F134"/>
      <c s="52" r="G134"/>
      <c s="52" r="H134"/>
      <c s="52" r="I134"/>
      <c s="52" r="J134"/>
      <c s="52" r="K134"/>
      <c t="str" s="76" r="L134">
        <f>HYPERLINK("http://sofifa.com/en/fifa13winter/player/148993-lewis-holtby","L. Holtby")</f>
        <v>L. Holtby</v>
      </c>
      <c t="str" s="76" r="M134">
        <f>HYPERLINK("http://sofifa.com/en/fifa13winter/player/147307-francesco-cosenza","F. Cosenza")</f>
        <v>F. Cosenza</v>
      </c>
      <c s="52" r="N134"/>
    </row>
    <row r="135">
      <c s="52" r="A135"/>
      <c t="str" s="76" r="B135">
        <f>HYPERLINK("http://sofifa.com/en/fifa13winter/player/149847-marcos-junio-lima-dos-santos","Marcos Junior")</f>
        <v>Marcos Junior</v>
      </c>
      <c s="52" r="C135"/>
      <c s="52" r="D135"/>
      <c s="52" r="E135"/>
      <c s="52" r="F135"/>
      <c s="52" r="G135"/>
      <c s="52" r="H135"/>
      <c s="52" r="I135"/>
      <c s="52" r="J135"/>
      <c s="52" r="K135"/>
      <c t="str" s="76" r="L135">
        <f>HYPERLINK("http://sofifa.com/en/fifa13winter/player/149252-lorenzo-insigne","L. Insigne")</f>
        <v>L. Insigne</v>
      </c>
      <c t="str" s="76" r="M135">
        <f>HYPERLINK("http://sofifa.com/en/fifa13winter/player/145986-frank-demouge","F. Demouge")</f>
        <v>F. Demouge</v>
      </c>
      <c s="52" r="N135"/>
    </row>
    <row r="136">
      <c s="52" r="A136"/>
      <c t="str" s="76" r="B136">
        <f>HYPERLINK("http://sofifa.com/en/fifa13winter/player/146291-mario-rui-correia-tomas","Marinho")</f>
        <v>Marinho</v>
      </c>
      <c s="52" r="C136"/>
      <c s="52" r="D136"/>
      <c s="52" r="E136"/>
      <c s="52" r="F136"/>
      <c s="52" r="G136"/>
      <c s="52" r="H136"/>
      <c s="52" r="I136"/>
      <c s="52" r="J136"/>
      <c s="52" r="K136"/>
      <c t="str" s="76" r="L136">
        <f>HYPERLINK("http://sofifa.com/en/fifa13winter/player/147811-lionel-messi","L. Messi")</f>
        <v>L. Messi</v>
      </c>
      <c t="str" s="76" r="M136">
        <f>HYPERLINK("http://sofifa.com/en/fifa13winter/player/146157-francis-dickoh","F. Dickoh")</f>
        <v>F. Dickoh</v>
      </c>
      <c s="52" r="N136"/>
    </row>
    <row r="137">
      <c s="52" r="A137"/>
      <c t="str" s="76" r="B137">
        <f>HYPERLINK("http://sofifa.com/en/fifa13winter/player/146711-mateus-galiano-da-costa","Mateus")</f>
        <v>Mateus</v>
      </c>
      <c s="52" r="C137"/>
      <c s="52" r="D137"/>
      <c s="52" r="E137"/>
      <c s="52" r="F137"/>
      <c s="52" r="G137"/>
      <c s="52" r="H137"/>
      <c s="52" r="I137"/>
      <c s="52" r="J137"/>
      <c s="52" r="K137"/>
      <c t="str" s="76" r="L137">
        <f>HYPERLINK("http://sofifa.com/en/fifa13winter/player/147158-luka-modric","L. Modrić")</f>
        <v>L. Modrić</v>
      </c>
      <c t="str" s="76" r="M137">
        <f>HYPERLINK("http://sofifa.com/en/fifa13winter/player/147712-federico-fazio","F. Fazio")</f>
        <v>F. Fazio</v>
      </c>
      <c s="52" r="N137"/>
    </row>
    <row r="138">
      <c s="52" r="A138"/>
      <c t="str" s="76" r="B138">
        <f>HYPERLINK("http://sofifa.com/en/fifa13winter/player/149152-nicolas-benezet","N. Benezet")</f>
        <v>N. Benezet</v>
      </c>
      <c s="52" r="C138"/>
      <c s="52" r="D138"/>
      <c s="52" r="E138"/>
      <c s="52" r="F138"/>
      <c s="52" r="G138"/>
      <c s="52" r="H138"/>
      <c s="52" r="I138"/>
      <c s="52" r="J138"/>
      <c s="52" r="K138"/>
      <c t="str" s="76" r="L138">
        <f>HYPERLINK("http://sofifa.com/en/fifa13winter/player/149205-luis-muriel","L. Muriel")</f>
        <v>L. Muriel</v>
      </c>
      <c t="str" s="76" r="M138">
        <f>HYPERLINK("http://sofifa.com/en/fifa13winter/player/147980-federico-gerardi","F. Gerardi")</f>
        <v>F. Gerardi</v>
      </c>
      <c s="52" r="N138"/>
    </row>
    <row r="139">
      <c s="52" r="A139"/>
      <c t="str" s="76" r="B139">
        <f>HYPERLINK("http://sofifa.com/en/fifa13winter/player/149130-nathan-delfouneso","N. Delfouneso")</f>
        <v>N. Delfouneso</v>
      </c>
      <c s="52" r="C139"/>
      <c s="52" r="D139"/>
      <c s="52" r="E139"/>
      <c s="52" r="F139"/>
      <c s="52" r="G139"/>
      <c s="52" r="H139"/>
      <c s="52" r="I139"/>
      <c s="52" r="J139"/>
      <c s="52" r="K139"/>
      <c t="str" s="76" r="L139">
        <f>HYPERLINK("http://sofifa.com/en/fifa13winter/player/147660-luis-suarez","L. Suárez")</f>
        <v>L. Suárez</v>
      </c>
      <c t="str" s="76" r="M139">
        <f>HYPERLINK("http://sofifa.com/en/fifa13winter/player/144366-frode-kippe","F. Kippe")</f>
        <v>F. Kippe</v>
      </c>
      <c s="52" r="N139"/>
    </row>
    <row r="140">
      <c s="52" r="A140"/>
      <c t="str" s="76" r="B140">
        <f>HYPERLINK("http://sofifa.com/en/fifa13winter/player/147969-nathan-dyer","N. Dyer")</f>
        <v>N. Dyer</v>
      </c>
      <c s="52" r="C140"/>
      <c s="52" r="D140"/>
      <c s="52" r="E140"/>
      <c s="52" r="F140"/>
      <c s="52" r="G140"/>
      <c s="52" r="H140"/>
      <c s="52" r="I140"/>
      <c s="52" r="J140"/>
      <c s="52" r="K140"/>
      <c t="str" s="76" r="L140">
        <f>HYPERLINK("http://sofifa.com/en/fifa13winter/player/146787-jin-ho-lee","Lee Jin Ho")</f>
        <v>Lee Jin Ho</v>
      </c>
      <c t="str" s="76" r="M140">
        <f>HYPERLINK("http://sofifa.com/en/fifa13winter/player/144343-fernando-ortiz","F. Ortíz")</f>
        <v>F. Ortíz</v>
      </c>
      <c s="52" r="N140"/>
    </row>
    <row r="141">
      <c s="52" r="A141"/>
      <c t="str" s="76" r="B141">
        <f>HYPERLINK("http://sofifa.com/en/fifa13winter/player/149057-nigel-hasselbaink","N. Hasselbaink")</f>
        <v>N. Hasselbaink</v>
      </c>
      <c s="52" r="C141"/>
      <c s="52" r="D141"/>
      <c s="52" r="E141"/>
      <c s="52" r="F141"/>
      <c s="52" r="G141"/>
      <c s="52" r="H141"/>
      <c s="52" r="I141"/>
      <c s="52" r="J141"/>
      <c s="52" r="K141"/>
      <c t="str" s="76" r="L141">
        <f>HYPERLINK("http://sofifa.com/en/fifa13winter/player/149688-lucas-rodrigues-m-silva","Lucas")</f>
        <v>Lucas</v>
      </c>
      <c t="str" s="76" r="M141">
        <f>HYPERLINK("http://sofifa.com/en/fifa13winter/player/145738-francisco-rodriguez","F. Rodríguez")</f>
        <v>F. Rodríguez</v>
      </c>
      <c s="52" r="N141"/>
    </row>
    <row r="142">
      <c s="52" r="A142"/>
      <c t="str" s="76" r="B142">
        <f>HYPERLINK("http://sofifa.com/en/fifa13winter/player/148776-niklas-hult","N. Hult")</f>
        <v>N. Hult</v>
      </c>
      <c s="52" r="C142"/>
      <c s="52" r="D142"/>
      <c s="52" r="E142"/>
      <c s="52" r="F142"/>
      <c s="52" r="G142"/>
      <c s="52" r="H142"/>
      <c s="52" r="I142"/>
      <c s="52" r="J142"/>
      <c s="52" r="K142"/>
      <c t="str" s="76" r="L142">
        <f>HYPERLINK("http://sofifa.com/en/fifa13winter/player/147802-luis-carlos-da-conceicao-lima","Luís Carlos")</f>
        <v>Luís Carlos</v>
      </c>
      <c t="str" s="76" r="M142">
        <f>HYPERLINK("http://sofifa.com/en/fifa13winter/player/146879-ferdinando-sforzini","F. Sforzini")</f>
        <v>F. Sforzini</v>
      </c>
      <c s="52" r="N142"/>
    </row>
    <row r="143">
      <c s="52" r="A143"/>
      <c t="str" s="76" r="B143">
        <f>HYPERLINK("http://sofifa.com/en/fifa13winter/player/149022-nnamdi-oduamadi","N. Oduamadi")</f>
        <v>N. Oduamadi</v>
      </c>
      <c s="52" r="C143"/>
      <c s="52" r="D143"/>
      <c s="52" r="E143"/>
      <c s="52" r="F143"/>
      <c s="52" r="G143"/>
      <c s="52" r="H143"/>
      <c s="52" r="I143"/>
      <c s="52" r="J143"/>
      <c s="52" r="K143"/>
      <c t="str" s="76" r="L143">
        <f>HYPERLINK("http://sofifa.com/en/fifa13winter/player/146131-mimoun-azaouagh","M. Azaouagh")</f>
        <v>M. Azaouagh</v>
      </c>
      <c t="str" s="76" r="M143">
        <f>HYPERLINK("http://sofifa.com/en/fifa13winter/player/147771-felipe-trevizan-martins","Felipe")</f>
        <v>Felipe</v>
      </c>
      <c s="52" r="N143"/>
    </row>
    <row r="144">
      <c s="52" r="A144"/>
      <c t="str" s="76" r="B144">
        <f>HYPERLINK("http://sofifa.com/en/fifa13winter/player/147809-nikita-rukavytsya","N. Rukavytsya")</f>
        <v>N. Rukavytsya</v>
      </c>
      <c s="52" r="C144"/>
      <c s="52" r="D144"/>
      <c s="52" r="E144"/>
      <c s="52" r="F144"/>
      <c s="52" r="G144"/>
      <c s="52" r="H144"/>
      <c s="52" r="I144"/>
      <c s="52" r="J144"/>
      <c s="52" r="K144"/>
      <c t="str" s="76" r="L144">
        <f>HYPERLINK("http://sofifa.com/en/fifa13winter/player/149253-martin-braithwaite","M. Braithwaite")</f>
        <v>M. Braithwaite</v>
      </c>
      <c t="str" s="76" r="M144">
        <f>HYPERLINK("http://sofifa.com/en/fifa13winter/player/147722-jose-fernando-vieira-de-santana","Fernandão")</f>
        <v>Fernandão</v>
      </c>
      <c s="52" r="N144"/>
    </row>
    <row r="145">
      <c s="52" r="A145"/>
      <c t="str" s="76" r="B145">
        <f>HYPERLINK("http://sofifa.com/en/fifa13winter/player/145934-nathan-tyson","N. Tyson")</f>
        <v>N. Tyson</v>
      </c>
      <c s="52" r="C145"/>
      <c s="52" r="D145"/>
      <c s="52" r="E145"/>
      <c s="52" r="F145"/>
      <c s="52" r="G145"/>
      <c s="52" r="H145"/>
      <c s="52" r="I145"/>
      <c s="52" r="J145"/>
      <c s="52" r="K145"/>
      <c t="str" s="76" r="L145">
        <f>HYPERLINK("http://sofifa.com/en/fifa13winter/player/149145-marco-dalessandro","M. D'Alessandro")</f>
        <v>M. D'Alessandro</v>
      </c>
      <c t="str" s="76" r="M145">
        <f>HYPERLINK("http://sofifa.com/en/fifa13winter/player/146963-fernando-llorente-torres","Fernando Llorente")</f>
        <v>Fernando Llorente</v>
      </c>
      <c s="52" r="N145"/>
    </row>
    <row r="146">
      <c s="52" r="A146"/>
      <c t="str" s="76" r="B146">
        <f>HYPERLINK("http://sofifa.com/en/fifa13winter/player/148884-nahki-wells","N. Wells")</f>
        <v>N. Wells</v>
      </c>
      <c s="52" r="C146"/>
      <c s="52" r="D146"/>
      <c s="52" r="E146"/>
      <c s="52" r="F146"/>
      <c s="52" r="G146"/>
      <c s="52" r="H146"/>
      <c s="52" r="I146"/>
      <c s="52" r="J146"/>
      <c s="52" r="K146"/>
      <c t="str" s="76" r="L146">
        <f>HYPERLINK("http://sofifa.com/en/fifa13winter/player/148811-medy-elito","M. Elito")</f>
        <v>M. Elito</v>
      </c>
      <c t="str" s="76" r="M146">
        <f>HYPERLINK("http://sofifa.com/en/fifa13winter/player/147274-francisco-perez-castro","Fran Pérez")</f>
        <v>Fran Pérez</v>
      </c>
      <c s="52" r="N146"/>
    </row>
    <row r="147">
      <c s="52" r="A147"/>
      <c t="str" s="76" r="B147">
        <f>HYPERLINK("http://sofifa.com/en/fifa13winter/player/148433-jose-ignacio-martinez-garcia","Nacho")</f>
        <v>Nacho</v>
      </c>
      <c s="52" r="C147"/>
      <c s="52" r="D147"/>
      <c s="52" r="E147"/>
      <c s="52" r="F147"/>
      <c s="52" r="G147"/>
      <c s="52" r="H147"/>
      <c s="52" r="I147"/>
      <c s="52" r="J147"/>
      <c s="52" r="K147"/>
      <c t="str" s="76" r="L147">
        <f>HYPERLINK("http://sofifa.com/en/fifa13winter/player/148511-mohammed-fellah","M. Fellah")</f>
        <v>M. Fellah</v>
      </c>
      <c t="str" s="76" r="M147">
        <f>HYPERLINK("http://sofifa.com/en/fifa13winter/player/144625-gerald-asamoah","G. Asamoah")</f>
        <v>G. Asamoah</v>
      </c>
      <c s="52" r="N147"/>
    </row>
    <row r="148">
      <c s="52" r="A148"/>
      <c t="str" s="76" r="B148">
        <f>HYPERLINK("http://sofifa.com/en/fifa13winter/player/147958-sosthenes-jose-santos-salles","Neto Berola")</f>
        <v>Neto Berola</v>
      </c>
      <c s="52" r="C148"/>
      <c s="52" r="D148"/>
      <c s="52" r="E148"/>
      <c s="52" r="F148"/>
      <c s="52" r="G148"/>
      <c s="52" r="H148"/>
      <c s="52" r="I148"/>
      <c s="52" r="J148"/>
      <c s="52" r="K148"/>
      <c t="str" s="76" r="L148">
        <f>HYPERLINK("http://sofifa.com/en/fifa13winter/player/147294-michael-gardyne","M. Gardyne")</f>
        <v>M. Gardyne</v>
      </c>
      <c t="str" s="76" r="M148">
        <f>HYPERLINK("http://sofifa.com/en/fifa13winter/player/144723-guy-branston","G. Branston")</f>
        <v>G. Branston</v>
      </c>
      <c s="52" r="N148"/>
    </row>
    <row r="149">
      <c s="52" r="A149"/>
      <c t="str" s="76" r="B149">
        <f>HYPERLINK("http://sofifa.com/en/fifa13winter/player/149498-neymar-da-silva-santos-jr","Neymar")</f>
        <v>Neymar</v>
      </c>
      <c s="52" r="C149"/>
      <c s="52" r="D149"/>
      <c s="52" r="E149"/>
      <c s="52" r="F149"/>
      <c s="52" r="G149"/>
      <c s="52" r="H149"/>
      <c s="52" r="I149"/>
      <c s="52" r="J149"/>
      <c s="52" r="K149"/>
      <c t="str" s="76" r="L149">
        <f>HYPERLINK("http://sofifa.com/en/fifa13winter/player/149617-mario-gotze","M. Götze")</f>
        <v>M. Götze</v>
      </c>
      <c t="str" s="76" r="M149">
        <f>HYPERLINK("http://sofifa.com/en/fifa13winter/player/148037-gordan-bunoza","G. Bunoza")</f>
        <v>G. Bunoza</v>
      </c>
      <c s="52" r="N149"/>
    </row>
    <row r="150">
      <c s="52" r="A150"/>
      <c t="str" s="76" r="B150">
        <f>HYPERLINK("http://sofifa.com/en/fifa13winter/player/144986-byung-jun-no","No Byung Jun")</f>
        <v>No Byung Jun</v>
      </c>
      <c s="52" r="C150"/>
      <c s="52" r="D150"/>
      <c s="52" r="E150"/>
      <c s="52" r="F150"/>
      <c s="52" r="G150"/>
      <c s="52" r="H150"/>
      <c s="52" r="I150"/>
      <c s="52" r="J150"/>
      <c s="52" r="K150"/>
      <c t="str" s="76" r="L150">
        <f>HYPERLINK("http://sofifa.com/en/fifa13winter/player/149264-mark-griffin","M. Griffin")</f>
        <v>M. Griffin</v>
      </c>
      <c t="str" s="76" r="M150">
        <f>HYPERLINK("http://sofifa.com/en/fifa13winter/player/148071-gaetano-carrieri","G. Carrieri")</f>
        <v>G. Carrieri</v>
      </c>
      <c s="52" r="N150"/>
    </row>
    <row r="151">
      <c s="52" r="A151"/>
      <c t="str" s="76" r="B151">
        <f>HYPERLINK("http://sofifa.com/en/fifa13winter/player/147805-omar-arellano","O. Arellano")</f>
        <v>O. Arellano</v>
      </c>
      <c s="52" r="C151"/>
      <c s="52" r="D151"/>
      <c s="52" r="E151"/>
      <c s="52" r="F151"/>
      <c s="52" r="G151"/>
      <c s="52" r="H151"/>
      <c s="52" r="I151"/>
      <c s="52" r="J151"/>
      <c s="52" r="K151"/>
      <c t="str" s="76" r="L151">
        <f>HYPERLINK("http://sofifa.com/en/fifa13winter/player/145366-magne-hoseth","M. Hoseth")</f>
        <v>M. Hoseth</v>
      </c>
      <c t="str" s="76" r="M151">
        <f>HYPERLINK("http://sofifa.com/en/fifa13winter/player/145110-gary-doherty","G. Doherty")</f>
        <v>G. Doherty</v>
      </c>
      <c s="52" r="N151"/>
    </row>
    <row r="152">
      <c s="52" r="A152"/>
      <c t="str" s="76" r="B152">
        <f>HYPERLINK("http://sofifa.com/en/fifa13winter/player/145560-omar-daley","O. Daley")</f>
        <v>O. Daley</v>
      </c>
      <c s="52" r="C152"/>
      <c s="52" r="D152"/>
      <c s="52" r="E152"/>
      <c s="52" r="F152"/>
      <c s="52" r="G152"/>
      <c s="52" r="H152"/>
      <c s="52" r="I152"/>
      <c s="52" r="J152"/>
      <c s="52" r="K152"/>
      <c t="str" s="76" r="L152">
        <f>HYPERLINK("http://sofifa.com/en/fifa13winter/player/148977-muhamed-keita","M. Keita")</f>
        <v>M. Keita</v>
      </c>
      <c t="str" s="76" r="M152">
        <f>HYPERLINK("http://sofifa.com/en/fifa13winter/player/147302-george-elokobi","G. Elokobi")</f>
        <v>G. Elokobi</v>
      </c>
      <c s="52" r="N152"/>
    </row>
    <row r="153">
      <c s="52" r="A153"/>
      <c t="str" s="76" r="B153">
        <f>HYPERLINK("http://sofifa.com/en/fifa13winter/player/146842-obafemi-martins","O. Martins")</f>
        <v>O. Martins</v>
      </c>
      <c s="52" r="C153"/>
      <c s="52" r="D153"/>
      <c s="52" r="E153"/>
      <c s="52" r="F153"/>
      <c s="52" r="G153"/>
      <c s="52" r="H153"/>
      <c s="52" r="I153"/>
      <c s="52" r="J153"/>
      <c s="52" r="K153"/>
      <c t="str" s="76" r="L153">
        <f>HYPERLINK("http://sofifa.com/en/fifa13winter/player/149805-moritz-leitner","M. Leitner")</f>
        <v>M. Leitner</v>
      </c>
      <c t="str" s="76" r="M153">
        <f>HYPERLINK("http://sofifa.com/en/fifa13winter/player/144777-gunter-friesenbichler","G. Friesenbichler")</f>
        <v>G. Friesenbichler</v>
      </c>
      <c s="52" r="N153"/>
    </row>
    <row r="154">
      <c s="52" r="A154"/>
      <c t="str" s="76" r="B154">
        <f>HYPERLINK("http://sofifa.com/en/fifa13winter/player/149239-odise-roshi","O. Roshi")</f>
        <v>O. Roshi</v>
      </c>
      <c s="52" r="C154"/>
      <c s="52" r="D154"/>
      <c s="52" r="E154"/>
      <c s="52" r="F154"/>
      <c s="52" r="G154"/>
      <c s="52" r="H154"/>
      <c s="52" r="I154"/>
      <c s="52" r="J154"/>
      <c s="52" r="K154"/>
      <c t="str" s="76" r="L154">
        <f>HYPERLINK("http://sofifa.com/en/fifa13winter/player/148014-magnus-lekven","M. Lekven")</f>
        <v>M. Lekven</v>
      </c>
      <c t="str" s="76" r="M154">
        <f>HYPERLINK("http://sofifa.com/en/fifa13winter/player/148584-gia-grigalava","G. Grigalava")</f>
        <v>G. Grigalava</v>
      </c>
      <c s="52" r="N154"/>
    </row>
    <row r="155">
      <c s="52" r="A155"/>
      <c t="str" s="76" r="B155">
        <f>HYPERLINK("http://sofifa.com/en/fifa13winter/player/147726-odair-junior-lopes-fortes","Odaïr Fortes")</f>
        <v>Odaïr Fortes</v>
      </c>
      <c s="52" r="C155"/>
      <c s="52" r="D155"/>
      <c s="52" r="E155"/>
      <c s="52" r="F155"/>
      <c s="52" r="G155"/>
      <c s="52" r="H155"/>
      <c s="52" r="I155"/>
      <c s="52" r="J155"/>
      <c s="52" r="K155"/>
      <c t="str" s="76" r="L155">
        <f>HYPERLINK("http://sofifa.com/en/fifa13winter/player/148074-marko-marin","M. Marin")</f>
        <v>M. Marin</v>
      </c>
      <c t="str" s="76" r="M155">
        <f>HYPERLINK("http://sofifa.com/en/fifa13winter/player/149874-geoffrey-kondogbia","G. Kondogbia")</f>
        <v>G. Kondogbia</v>
      </c>
      <c s="52" r="N155"/>
    </row>
    <row r="156">
      <c s="52" r="A156"/>
      <c t="str" s="76" r="B156">
        <f>HYPERLINK("http://sofifa.com/en/fifa13winter/player/147737-osvaldo-lourenco-filho","Osvaldo")</f>
        <v>Osvaldo</v>
      </c>
      <c s="52" r="C156"/>
      <c s="52" r="D156"/>
      <c s="52" r="E156"/>
      <c s="52" r="F156"/>
      <c s="52" r="G156"/>
      <c s="52" r="H156"/>
      <c s="52" r="I156"/>
      <c s="52" r="J156"/>
      <c s="52" r="K156"/>
      <c t="str" s="76" r="L156">
        <f>HYPERLINK("http://sofifa.com/en/fifa13winter/player/147694-maximiliano-moralez","M. Moralez")</f>
        <v>M. Moralez</v>
      </c>
      <c t="str" s="76" r="M156">
        <f>HYPERLINK("http://sofifa.com/en/fifa13winter/player/147194-gary-mackenzie","G. MacKenzie")</f>
        <v>G. MacKenzie</v>
      </c>
      <c s="52" r="N156"/>
    </row>
    <row r="157">
      <c s="52" r="A157"/>
      <c t="str" s="76" r="B157">
        <f>HYPERLINK("http://sofifa.com/en/fifa13winter/player/148536-pierre-emerick-aubameyang","P. Aubameyang")</f>
        <v>P. Aubameyang</v>
      </c>
      <c s="52" r="C157"/>
      <c s="52" r="D157"/>
      <c s="52" r="E157"/>
      <c s="52" r="F157"/>
      <c s="52" r="G157"/>
      <c s="52" r="H157"/>
      <c s="52" r="I157"/>
      <c s="52" r="J157"/>
      <c s="52" r="K157"/>
      <c t="str" s="76" r="L157">
        <f>HYPERLINK("http://sofifa.com/en/fifa13winter/player/149193-michael-ortega","M. Ortega")</f>
        <v>M. Ortega</v>
      </c>
      <c t="str" s="76" r="M157">
        <f>HYPERLINK("http://sofifa.com/en/fifa13winter/player/146929-guy-moussi","G. Moussi")</f>
        <v>G. Moussi</v>
      </c>
      <c s="52" r="N157"/>
    </row>
    <row r="158">
      <c s="52" r="A158"/>
      <c t="str" s="76" r="B158">
        <f>HYPERLINK("http://sofifa.com/en/fifa13winter/player/149140-patrick-herrmann","P. Herrmann")</f>
        <v>P. Herrmann</v>
      </c>
      <c s="52" r="C158"/>
      <c s="52" r="D158"/>
      <c s="52" r="E158"/>
      <c s="52" r="F158"/>
      <c s="52" r="G158"/>
      <c s="52" r="H158"/>
      <c s="52" r="I158"/>
      <c s="52" r="J158"/>
      <c s="52" r="K158"/>
      <c t="str" s="76" r="L158">
        <f>HYPERLINK("http://sofifa.com/en/fifa13winter/player/147206-mark-quigley","M. Quigley")</f>
        <v>M. Quigley</v>
      </c>
      <c t="str" s="76" r="M158">
        <f>HYPERLINK("http://sofifa.com/en/fifa13winter/player/145719-gaby-mudingayi","G. Mudingayi")</f>
        <v>G. Mudingayi</v>
      </c>
      <c s="52" r="N158"/>
    </row>
    <row r="159">
      <c s="52" r="A159"/>
      <c t="str" s="76" r="B159">
        <f>HYPERLINK("http://sofifa.com/en/fifa13winter/player/148973-patrick-van-aanholt","P. van Aanholt")</f>
        <v>P. van Aanholt</v>
      </c>
      <c s="52" r="C159"/>
      <c s="52" r="D159"/>
      <c s="52" r="E159"/>
      <c s="52" r="F159"/>
      <c s="52" r="G159"/>
      <c s="52" r="H159"/>
      <c s="52" r="I159"/>
      <c s="52" r="J159"/>
      <c s="52" r="K159"/>
      <c t="str" s="76" r="L159">
        <f>HYPERLINK("http://sofifa.com/en/fifa13winter/player/148518-marco-reus","M. Reus")</f>
        <v>M. Reus</v>
      </c>
      <c t="str" s="76" r="M159">
        <f>HYPERLINK("http://sofifa.com/en/fifa13winter/player/147317-gabriel-paletta","G. Paletta")</f>
        <v>G. Paletta</v>
      </c>
      <c s="52" r="N159"/>
    </row>
    <row r="160">
      <c s="52" r="A160"/>
      <c t="str" s="76" r="B160">
        <f>HYPERLINK("http://sofifa.com/en/fifa13winter/player/146010-patrick-zoundi","P. Zoundi")</f>
        <v>P. Zoundi</v>
      </c>
      <c s="52" r="C160"/>
      <c s="52" r="D160"/>
      <c s="52" r="E160"/>
      <c s="52" r="F160"/>
      <c s="52" r="G160"/>
      <c s="52" r="H160"/>
      <c s="52" r="I160"/>
      <c s="52" r="J160"/>
      <c s="52" r="K160"/>
      <c t="str" s="76" r="L160">
        <f>HYPERLINK("http://sofifa.com/en/fifa13winter/player/145248-marco-sansovini","M. Sansovini")</f>
        <v>M. Sansovini</v>
      </c>
      <c t="str" s="76" r="M160">
        <f>HYPERLINK("http://sofifa.com/en/fifa13winter/player/147102-graziano-pelle","G. Pellè")</f>
        <v>G. Pellè</v>
      </c>
      <c s="52" r="N160"/>
    </row>
    <row r="161">
      <c s="52" r="A161"/>
      <c t="str" s="76" r="B161">
        <f>HYPERLINK("http://sofifa.com/en/fifa13winter/player/148703-jun-tae-park","Park Jun Tae")</f>
        <v>Park Jun Tae</v>
      </c>
      <c s="52" r="C161"/>
      <c s="52" r="D161"/>
      <c s="52" r="E161"/>
      <c s="52" r="F161"/>
      <c s="52" r="G161"/>
      <c s="52" r="H161"/>
      <c s="52" r="I161"/>
      <c s="52" r="J161"/>
      <c s="52" r="K161"/>
      <c t="str" s="76" r="L161">
        <f>HYPERLINK("http://sofifa.com/en/fifa13winter/player/147943-marco-sau","M. Sau")</f>
        <v>M. Sau</v>
      </c>
      <c t="str" s="76" r="M161">
        <f>HYPERLINK("http://sofifa.com/en/fifa13winter/player/146195-gianvito-plasmati","G. Plasmati")</f>
        <v>G. Plasmati</v>
      </c>
      <c s="52" r="N161"/>
    </row>
    <row r="162">
      <c s="52" r="A162"/>
      <c t="str" s="76" r="B162">
        <f>HYPERLINK("http://sofifa.com/en/fifa13winter/player/146651-quincy-antipas","Q. Antipas")</f>
        <v>Q. Antipas</v>
      </c>
      <c s="52" r="C162"/>
      <c s="52" r="D162"/>
      <c s="52" r="E162"/>
      <c s="52" r="F162"/>
      <c s="52" r="G162"/>
      <c s="52" r="H162"/>
      <c s="52" r="I162"/>
      <c s="52" r="J162"/>
      <c s="52" r="K162"/>
      <c t="str" s="76" r="L162">
        <f>HYPERLINK("http://sofifa.com/en/fifa13winter/player/146315-mehdi-taouil","M. Taouil")</f>
        <v>M. Taouil</v>
      </c>
      <c t="str" s="76" r="M162">
        <f>HYPERLINK("http://sofifa.com/en/fifa13winter/player/146621-guillermo-rodriguez","G. Rodríguez")</f>
        <v>G. Rodríguez</v>
      </c>
      <c s="52" r="N162"/>
    </row>
    <row r="163">
      <c s="52" r="A163"/>
      <c t="str" s="76" r="B163">
        <f>HYPERLINK("http://sofifa.com/en/fifa13winter/player/148460-romain-alessandrini","R. Alessandrini")</f>
        <v>R. Alessandrini</v>
      </c>
      <c s="52" r="C163"/>
      <c s="52" r="D163"/>
      <c s="52" r="E163"/>
      <c s="52" r="F163"/>
      <c s="52" r="G163"/>
      <c s="52" r="H163"/>
      <c s="52" r="I163"/>
      <c s="52" r="J163"/>
      <c s="52" r="K163"/>
      <c t="str" s="76" r="L163">
        <f>HYPERLINK("http://sofifa.com/en/fifa13winter/player/146571-mohammed-tchite","M. Tchité")</f>
        <v>M. Tchité</v>
      </c>
      <c t="str" s="76" r="M163">
        <f>HYPERLINK("http://sofifa.com/en/fifa13winter/player/147506-giuseppe-rossini","G. Rossini")</f>
        <v>G. Rossini</v>
      </c>
      <c s="52" r="N163"/>
    </row>
    <row r="164">
      <c s="52" r="A164"/>
      <c t="str" s="76" r="B164">
        <f>HYPERLINK("http://sofifa.com/en/fifa13winter/player/145456-roderick-earlshow","R. Earlshow")</f>
        <v>R. Earlshow</v>
      </c>
      <c s="52" r="C164"/>
      <c s="52" r="D164"/>
      <c s="52" r="E164"/>
      <c s="52" r="F164"/>
      <c s="52" r="G164"/>
      <c s="52" r="H164"/>
      <c s="52" r="I164"/>
      <c s="52" r="J164"/>
      <c s="52" r="K164"/>
      <c t="str" s="76" r="L164">
        <f>HYPERLINK("http://sofifa.com/en/fifa13winter/player/146812-mathieu-valbuena","M. Valbuena")</f>
        <v>M. Valbuena</v>
      </c>
      <c t="str" s="76" r="M164">
        <f>HYPERLINK("http://sofifa.com/en/fifa13winter/player/148615-grzegorz-sandomierski","G. Sandomierski")</f>
        <v>G. Sandomierski</v>
      </c>
      <c s="52" r="N164"/>
    </row>
    <row r="165">
      <c s="52" r="A165"/>
      <c t="str" s="76" r="B165">
        <f>HYPERLINK("http://sofifa.com/en/fifa13winter/player/147122-robbie-findley","R. Findley")</f>
        <v>R. Findley</v>
      </c>
      <c s="52" r="C165"/>
      <c s="52" r="D165"/>
      <c s="52" r="E165"/>
      <c s="52" r="F165"/>
      <c s="52" r="G165"/>
      <c s="52" r="H165"/>
      <c s="52" r="I165"/>
      <c s="52" r="J165"/>
      <c s="52" r="K165"/>
      <c t="str" s="76" r="L165">
        <f>HYPERLINK("http://sofifa.com/en/fifa13winter/player/148217-maikon-fernando-souza-leite","Maikon Leite")</f>
        <v>Maikon Leite</v>
      </c>
      <c t="str" s="76" r="M165">
        <f>HYPERLINK("http://sofifa.com/en/fifa13winter/player/145571-guglielmo-stendardo","G. Stendardo")</f>
        <v>G. Stendardo</v>
      </c>
      <c s="52" r="N165"/>
    </row>
    <row r="166">
      <c s="52" r="A166"/>
      <c t="str" s="76" r="B166">
        <f>HYPERLINK("http://sofifa.com/en/fifa13winter/player/149811-ryo-miyaichi","R. Miyaichi")</f>
        <v>R. Miyaichi</v>
      </c>
      <c s="52" r="C166"/>
      <c s="52" r="D166"/>
      <c s="52" r="E166"/>
      <c s="52" r="F166"/>
      <c s="52" r="G166"/>
      <c s="52" r="H166"/>
      <c s="52" r="I166"/>
      <c s="52" r="J166"/>
      <c s="52" r="K166"/>
      <c t="str" s="76" r="L166">
        <f>HYPERLINK("http://sofifa.com/en/fifa13winter/player/149847-marcos-junio-lima-dos-santos","Marcos Junior")</f>
        <v>Marcos Junior</v>
      </c>
      <c t="str" s="76" r="M166">
        <f>HYPERLINK("http://sofifa.com/en/fifa13winter/player/145681-goran-sukalo","G. Šukalo")</f>
        <v>G. Šukalo</v>
      </c>
      <c s="52" r="N166"/>
    </row>
    <row r="167">
      <c s="52" r="A167"/>
      <c t="str" s="76" r="B167">
        <f>HYPERLINK("http://sofifa.com/en/fifa13winter/player/149942-richard-ofori","R. Ofori")</f>
        <v>R. Ofori</v>
      </c>
      <c s="52" r="C167"/>
      <c s="52" r="D167"/>
      <c s="52" r="E167"/>
      <c s="52" r="F167"/>
      <c s="52" r="G167"/>
      <c s="52" r="H167"/>
      <c s="52" r="I167"/>
      <c s="52" r="J167"/>
      <c s="52" r="K167"/>
      <c t="str" s="76" r="L167">
        <f>HYPERLINK("http://sofifa.com/en/fifa13winter/player/149816-iker-muniain-goni","Muniaín")</f>
        <v>Muniaín</v>
      </c>
      <c t="str" s="76" r="M167">
        <f>HYPERLINK("http://sofifa.com/en/fifa13winter/player/145695-gokhan-zan","G. Zan")</f>
        <v>G. Zan</v>
      </c>
      <c s="52" r="N167"/>
    </row>
    <row r="168">
      <c s="52" r="A168"/>
      <c t="str" s="76" r="B168">
        <f>HYPERLINK("http://sofifa.com/en/fifa13winter/player/150535-raheem-sterling","R. Sterling")</f>
        <v>R. Sterling</v>
      </c>
      <c s="52" r="C168"/>
      <c s="52" r="D168"/>
      <c s="52" r="E168"/>
      <c s="52" r="F168"/>
      <c s="52" r="G168"/>
      <c s="52" r="H168"/>
      <c s="52" r="I168"/>
      <c s="52" r="J168"/>
      <c s="52" r="K168"/>
      <c t="str" s="76" r="L168">
        <f>HYPERLINK("http://sofifa.com/en/fifa13winter/player/146735-nadjim-abdou","N. Abdou")</f>
        <v>N. Abdou</v>
      </c>
      <c t="str" s="76" r="M168">
        <f>HYPERLINK("http://sofifa.com/en/fifa13winter/player/144961-gledson-da-silva-menezes","Gledson")</f>
        <v>Gledson</v>
      </c>
      <c s="52" r="N168"/>
    </row>
    <row r="169">
      <c s="52" r="A169"/>
      <c t="str" s="76" r="B169">
        <f>HYPERLINK("http://sofifa.com/en/fifa13winter/player/148107-r-martinho-alves-de-lima","Raphael Martinho")</f>
        <v>Raphael Martinho</v>
      </c>
      <c s="52" r="C169"/>
      <c s="52" r="D169"/>
      <c s="52" r="E169"/>
      <c s="52" r="F169"/>
      <c s="52" r="G169"/>
      <c s="52" r="H169"/>
      <c s="52" r="I169"/>
      <c s="52" r="J169"/>
      <c s="52" r="K169"/>
      <c t="str" s="76" r="L169">
        <f>HYPERLINK("http://sofifa.com/en/fifa13winter/player/149152-nicolas-benezet","N. Benezet")</f>
        <v>N. Benezet</v>
      </c>
      <c t="str" s="76" r="M169">
        <f>HYPERLINK("http://sofifa.com/en/fifa13winter/player/145394-gregory-arnolin","Grégory")</f>
        <v>Grégory</v>
      </c>
      <c s="52" r="N169"/>
    </row>
    <row r="170">
      <c s="52" r="A170"/>
      <c t="str" s="76" r="B170">
        <f>HYPERLINK("http://sofifa.com/en/fifa13winter/player/148001-seydou-doumbia","S. Doumbia")</f>
        <v>S. Doumbia</v>
      </c>
      <c s="52" r="C170"/>
      <c s="52" r="D170"/>
      <c s="52" r="E170"/>
      <c s="52" r="F170"/>
      <c s="52" r="G170"/>
      <c s="52" r="H170"/>
      <c s="52" r="I170"/>
      <c s="52" r="J170"/>
      <c s="52" r="K170"/>
      <c t="str" s="76" r="L170">
        <f>HYPERLINK("http://sofifa.com/en/fifa13winter/player/149506-nicholas-fitzgerald","N. Fitzgerald")</f>
        <v>N. Fitzgerald</v>
      </c>
      <c t="str" s="76" r="M170">
        <f>HYPERLINK("http://sofifa.com/en/fifa13winter/player/146806-henok-goitom","H. Goitom")</f>
        <v>H. Goitom</v>
      </c>
      <c s="52" r="N170"/>
    </row>
    <row r="171">
      <c s="52" r="A171"/>
      <c t="str" s="76" r="B171">
        <f>HYPERLINK("http://sofifa.com/en/fifa13winter/player/145514-samuel-etoo","S. Eto'o")</f>
        <v>S. Eto'o</v>
      </c>
      <c s="52" r="C171"/>
      <c s="52" r="D171"/>
      <c s="52" r="E171"/>
      <c s="52" r="F171"/>
      <c s="52" r="G171"/>
      <c s="52" r="H171"/>
      <c s="52" r="I171"/>
      <c s="52" r="J171"/>
      <c s="52" r="K171"/>
      <c t="str" s="76" r="L171">
        <f>HYPERLINK("http://sofifa.com/en/fifa13winter/player/148055-nico-gaitan","N. Gaitán")</f>
        <v>N. Gaitán</v>
      </c>
      <c t="str" s="76" r="M171">
        <f>HYPERLINK("http://sofifa.com/en/fifa13winter/player/146950-hedwiges-maduro","H. Maduro")</f>
        <v>H. Maduro</v>
      </c>
      <c s="52" r="N171"/>
    </row>
    <row r="172">
      <c s="52" r="A172"/>
      <c t="str" s="76" r="B172">
        <f>HYPERLINK("http://sofifa.com/en/fifa13winter/player/147662-sebastian-giovinco","S. Giovinco")</f>
        <v>S. Giovinco</v>
      </c>
      <c s="52" r="C172"/>
      <c s="52" r="D172"/>
      <c s="52" r="E172"/>
      <c s="52" r="F172"/>
      <c s="52" r="G172"/>
      <c s="52" r="H172"/>
      <c s="52" r="I172"/>
      <c s="52" r="J172"/>
      <c s="52" r="K172"/>
      <c t="str" s="76" r="L172">
        <f>HYPERLINK("http://sofifa.com/en/fifa13winter/player/148776-niklas-hult","N. Hult")</f>
        <v>N. Hult</v>
      </c>
      <c t="str" s="76" r="M172">
        <f>HYPERLINK("http://sofifa.com/en/fifa13winter/player/144533-hannes-stiller","H. Stiller")</f>
        <v>H. Stiller</v>
      </c>
      <c s="52" r="N172"/>
    </row>
    <row r="173">
      <c s="52" r="A173"/>
      <c t="str" s="76" r="B173">
        <f>HYPERLINK("http://sofifa.com/en/fifa13winter/player/148953-sylvester-igboun","S. Igboun")</f>
        <v>S. Igboun</v>
      </c>
      <c s="52" r="C173"/>
      <c s="52" r="D173"/>
      <c s="52" r="E173"/>
      <c s="52" r="F173"/>
      <c s="52" r="G173"/>
      <c s="52" r="H173"/>
      <c s="52" r="I173"/>
      <c s="52" r="J173"/>
      <c s="52" r="K173"/>
      <c t="str" s="76" r="L173">
        <f>HYPERLINK("http://sofifa.com/en/fifa13winter/player/147904-nicolai-muller","N. Müller")</f>
        <v>N. Müller</v>
      </c>
      <c t="str" s="76" r="M173">
        <f>HYPERLINK("http://sofifa.com/en/fifa13winter/player/145550-henrik-toft","H. Toft")</f>
        <v>H. Toft</v>
      </c>
      <c s="52" r="N173"/>
    </row>
    <row r="174">
      <c s="52" r="A174"/>
      <c t="str" s="76" r="B174">
        <f>HYPERLINK("http://sofifa.com/en/fifa13winter/player/148065-steeven-langil","S. Langil")</f>
        <v>S. Langil</v>
      </c>
      <c s="52" r="C174"/>
      <c s="52" r="D174"/>
      <c s="52" r="E174"/>
      <c s="52" r="F174"/>
      <c s="52" r="G174"/>
      <c s="52" r="H174"/>
      <c s="52" r="I174"/>
      <c s="52" r="J174"/>
      <c s="52" r="K174"/>
      <c t="str" s="76" r="L174">
        <f>HYPERLINK("http://sofifa.com/en/fifa13winter/player/147592-luis-carlos-almeida-da-cunha","Nani")</f>
        <v>Nani</v>
      </c>
      <c t="str" s="76" r="M174">
        <f>HYPERLINK("http://sofifa.com/en/fifa13winter/player/147800-sung-min-ha","Ha Sung Min")</f>
        <v>Ha Sung Min</v>
      </c>
      <c s="52" r="N174"/>
    </row>
    <row r="175">
      <c s="52" r="A175"/>
      <c t="str" s="76" r="B175">
        <f>HYPERLINK("http://sofifa.com/en/fifa13winter/player/148032-sidney-sam","S. Sam")</f>
        <v>S. Sam</v>
      </c>
      <c s="52" r="C175"/>
      <c s="52" r="D175"/>
      <c s="52" r="E175"/>
      <c s="52" r="F175"/>
      <c s="52" r="G175"/>
      <c s="52" r="H175"/>
      <c s="52" r="I175"/>
      <c s="52" r="J175"/>
      <c s="52" r="K175"/>
      <c t="str" s="76" r="L175">
        <f>HYPERLINK("http://sofifa.com/en/fifa13winter/player/147958-sosthenes-jose-santos-salles","Neto Berola")</f>
        <v>Neto Berola</v>
      </c>
      <c t="str" s="76" r="M175">
        <f>HYPERLINK("http://sofifa.com/en/fifa13winter/player/148068-hector-rodas-ramirez","Héctor Rodas")</f>
        <v>Héctor Rodas</v>
      </c>
      <c s="52" r="N175"/>
    </row>
    <row r="176">
      <c s="52" r="A176"/>
      <c t="str" s="76" r="B176">
        <f>HYPERLINK("http://sofifa.com/en/fifa13winter/player/146748-sabri-sarioglu","S. Sarıoğlu")</f>
        <v>S. Sarıoğlu</v>
      </c>
      <c s="52" r="C176"/>
      <c s="52" r="D176"/>
      <c s="52" r="E176"/>
      <c s="52" r="F176"/>
      <c s="52" r="G176"/>
      <c s="52" r="H176"/>
      <c s="52" r="I176"/>
      <c s="52" r="J176"/>
      <c s="52" r="K176"/>
      <c t="str" s="76" r="L176">
        <f>HYPERLINK("http://sofifa.com/en/fifa13winter/player/149498-neymar-da-silva-santos-jr","Neymar")</f>
        <v>Neymar</v>
      </c>
      <c t="str" s="76" r="M176">
        <f>HYPERLINK("http://sofifa.com/en/fifa13winter/player/146684-hugo-miguel-pereira-almeida","Hugo Almeida")</f>
        <v>Hugo Almeida</v>
      </c>
      <c s="52" r="N176"/>
    </row>
    <row r="177">
      <c s="52" r="A177"/>
      <c t="str" s="76" r="B177">
        <f>HYPERLINK("http://sofifa.com/en/fifa13winter/player/147504-stephan-schrock","S. Schröck")</f>
        <v>S. Schröck</v>
      </c>
      <c s="52" r="C177"/>
      <c s="52" r="D177"/>
      <c s="52" r="E177"/>
      <c s="52" r="F177"/>
      <c s="52" r="G177"/>
      <c s="52" r="H177"/>
      <c s="52" r="I177"/>
      <c s="52" r="J177"/>
      <c s="52" r="K177"/>
      <c t="str" s="76" r="L177">
        <f>HYPERLINK("http://sofifa.com/en/fifa13winter/player/147559-manuel-agudo-duran","Nolito")</f>
        <v>Nolito</v>
      </c>
      <c t="str" s="76" r="M177">
        <f>HYPERLINK("http://sofifa.com/en/fifa13winter/player/147477-givanildo-vieira-de-souza","Hulk")</f>
        <v>Hulk</v>
      </c>
      <c s="52" r="N177"/>
    </row>
    <row r="178">
      <c s="52" r="A178"/>
      <c t="str" s="76" r="B178">
        <f>HYPERLINK("http://sofifa.com/en/fifa13winter/player/145743-shaun-wright-phillips","S. Wright-Phillips")</f>
        <v>S. Wright-Phillips</v>
      </c>
      <c s="52" r="C178"/>
      <c s="52" r="D178"/>
      <c s="52" r="E178"/>
      <c s="52" r="F178"/>
      <c s="52" r="G178"/>
      <c s="52" r="H178"/>
      <c s="52" r="I178"/>
      <c s="52" r="J178"/>
      <c s="52" r="K178"/>
      <c t="str" s="76" r="L178">
        <f>HYPERLINK("http://sofifa.com/en/fifa13winter/player/148229-oussama-assaidi","O. Assaidi")</f>
        <v>O. Assaidi</v>
      </c>
      <c t="str" s="76" r="M178">
        <f>HYPERLINK("http://sofifa.com/en/fifa13winter/player/142483-ian-goodison","I. Goodison")</f>
        <v>I. Goodison</v>
      </c>
      <c s="52" r="N178"/>
    </row>
    <row r="179">
      <c s="52" r="A179"/>
      <c t="str" s="76" r="B179">
        <f>HYPERLINK("http://sofifa.com/en/fifa13winter/player/148041-steve-zakuani","S. Zakuani")</f>
        <v>S. Zakuani</v>
      </c>
      <c s="52" r="C179"/>
      <c s="52" r="D179"/>
      <c s="52" r="E179"/>
      <c s="52" r="F179"/>
      <c s="52" r="G179"/>
      <c s="52" r="H179"/>
      <c s="52" r="I179"/>
      <c s="52" r="J179"/>
      <c s="52" r="K179"/>
      <c t="str" s="76" r="L179">
        <f>HYPERLINK("http://sofifa.com/en/fifa13winter/player/149205-oluwafemi-ilesanmi","O. Ilesanmi")</f>
        <v>O. Ilesanmi</v>
      </c>
      <c t="str" s="76" r="M179">
        <f>HYPERLINK("http://sofifa.com/en/fifa13winter/player/147501-ismael-traore","I. Traoré")</f>
        <v>I. Traoré</v>
      </c>
      <c s="52" r="N179"/>
    </row>
    <row r="180">
      <c s="52" r="A180"/>
      <c t="str" s="76" r="B180">
        <f>HYPERLINK("http://sofifa.com/en/fifa13winter/player/148354-leocisio-julio-sami","Sami")</f>
        <v>Sami</v>
      </c>
      <c s="52" r="C180"/>
      <c s="52" r="D180"/>
      <c s="52" r="E180"/>
      <c s="52" r="F180"/>
      <c s="52" r="G180"/>
      <c s="52" r="H180"/>
      <c s="52" r="I180"/>
      <c s="52" r="J180"/>
      <c s="52" r="K180"/>
      <c t="str" s="76" r="L180">
        <f>HYPERLINK("http://sofifa.com/en/fifa13winter/player/146842-obafemi-martins","O. Martins")</f>
        <v>O. Martins</v>
      </c>
      <c t="str" s="76" r="M180">
        <f>HYPERLINK("http://sofifa.com/en/fifa13winter/player/148174-isaac-vorsah","I. Vorsah")</f>
        <v>I. Vorsah</v>
      </c>
      <c s="52" r="N180"/>
    </row>
    <row r="181">
      <c s="52" r="A181"/>
      <c t="str" s="76" r="B181">
        <f>HYPERLINK("http://sofifa.com/en/fifa13winter/player/147532-tobias-mikkelsen","T. Mikkelsen")</f>
        <v>T. Mikkelsen</v>
      </c>
      <c s="52" r="C181"/>
      <c s="52" r="D181"/>
      <c s="52" r="E181"/>
      <c s="52" r="F181"/>
      <c s="52" r="G181"/>
      <c s="52" r="H181"/>
      <c s="52" r="I181"/>
      <c s="52" r="J181"/>
      <c s="52" r="K181"/>
      <c t="str" s="76" r="L181">
        <f>HYPERLINK("http://sofifa.com/en/fifa13winter/player/147726-odair-junior-lopes-fortes","Odaïr Fortes")</f>
        <v>Odaïr Fortes</v>
      </c>
      <c t="str" s="76" r="M181">
        <f>HYPERLINK("http://sofifa.com/en/fifa13winter/player/145884-inigo-velez-de-mendizabal","Íñigo Vélez")</f>
        <v>Íñigo Vélez</v>
      </c>
      <c s="52" r="N181"/>
    </row>
    <row r="182">
      <c s="52" r="A182"/>
      <c t="str" s="76" r="B182">
        <f>HYPERLINK("http://sofifa.com/en/fifa13winter/player/148953-tokelo-rantie","T. Rantie")</f>
        <v>T. Rantie</v>
      </c>
      <c s="52" r="C182"/>
      <c s="52" r="D182"/>
      <c s="52" r="E182"/>
      <c s="52" r="F182"/>
      <c s="52" r="G182"/>
      <c s="52" r="H182"/>
      <c s="52" r="I182"/>
      <c s="52" r="J182"/>
      <c s="52" r="K182"/>
      <c t="str" s="76" r="L182">
        <f>HYPERLINK("http://sofifa.com/en/fifa13winter/player/147737-osvaldo-lourenco-filho","Osvaldo")</f>
        <v>Osvaldo</v>
      </c>
      <c t="str" s="76" r="M182">
        <f>HYPERLINK("http://sofifa.com/en/fifa13winter/player/148677-jozy-altidore","J. Altidore")</f>
        <v>J. Altidore</v>
      </c>
      <c s="52" r="N182"/>
    </row>
    <row r="183">
      <c s="52" r="A183"/>
      <c t="str" s="76" r="B183">
        <f>HYPERLINK("http://sofifa.com/en/fifa13winter/player/147854-tosaint-ricketts","T. Ricketts")</f>
        <v>T. Ricketts</v>
      </c>
      <c s="52" r="C183"/>
      <c s="52" r="D183"/>
      <c s="52" r="E183"/>
      <c s="52" r="F183"/>
      <c s="52" r="G183"/>
      <c s="52" r="H183"/>
      <c s="52" r="I183"/>
      <c s="52" r="J183"/>
      <c s="52" r="K183"/>
      <c t="str" s="76" r="L183">
        <f>HYPERLINK("http://sofifa.com/en/fifa13winter/player/147286-patrick-nyarko","P. Nyarko")</f>
        <v>P. Nyarko</v>
      </c>
      <c t="str" s="76" r="M183">
        <f>HYPERLINK("http://sofifa.com/en/fifa13winter/player/147558-jean-sylvain-babin","J. Babin")</f>
        <v>J. Babin</v>
      </c>
      <c s="52" r="N183"/>
    </row>
    <row r="184">
      <c s="52" r="A184"/>
      <c t="str" s="76" r="B184">
        <f>HYPERLINK("http://sofifa.com/en/fifa13winter/player/148062-tlou-segolela","T. Segolela")</f>
        <v>T. Segolela</v>
      </c>
      <c s="52" r="C184"/>
      <c s="52" r="D184"/>
      <c s="52" r="E184"/>
      <c s="52" r="F184"/>
      <c s="52" r="G184"/>
      <c s="52" r="H184"/>
      <c s="52" r="I184"/>
      <c s="52" r="J184"/>
      <c s="52" r="K184"/>
      <c t="str" s="76" r="L184">
        <f>HYPERLINK("http://sofifa.com/en/fifa13winter/player/144885-pawel-sobolewski","P. Sobolewski")</f>
        <v>P. Sobolewski</v>
      </c>
      <c t="str" s="76" r="M184">
        <f>HYPERLINK("http://sofifa.com/en/fifa13winter/player/145719-julio-baptista","J. Baptista")</f>
        <v>J. Baptista</v>
      </c>
      <c s="52" r="N184"/>
    </row>
    <row r="185">
      <c s="52" r="A185"/>
      <c t="str" s="76" r="B185">
        <f>HYPERLINK("http://sofifa.com/en/fifa13winter/player/148442-theo-walcott","T. Walcott")</f>
        <v>T. Walcott</v>
      </c>
      <c s="52" r="C185"/>
      <c s="52" r="D185"/>
      <c s="52" r="E185"/>
      <c s="52" r="F185"/>
      <c s="52" r="G185"/>
      <c s="52" r="H185"/>
      <c s="52" r="I185"/>
      <c s="52" r="J185"/>
      <c s="52" r="K185"/>
      <c t="str" s="76" r="L185">
        <f>HYPERLINK("http://sofifa.com/en/fifa13winter/player/148269-hyun-park","Park Hyun")</f>
        <v>Park Hyun</v>
      </c>
      <c t="str" s="76" r="M185">
        <f>HYPERLINK("http://sofifa.com/en/fifa13winter/player/148248-jerome-boateng","J. Boateng")</f>
        <v>J. Boateng</v>
      </c>
      <c s="52" r="N185"/>
    </row>
    <row r="186">
      <c s="52" r="A186"/>
      <c t="str" s="76" r="B186">
        <f>HYPERLINK("http://sofifa.com/en/fifa13winter/player/147428-tiago-joao-targino-da-silva","Targino")</f>
        <v>Targino</v>
      </c>
      <c s="52" r="C186"/>
      <c s="52" r="D186"/>
      <c s="52" r="E186"/>
      <c s="52" r="F186"/>
      <c s="52" r="G186"/>
      <c s="52" r="H186"/>
      <c s="52" r="I186"/>
      <c s="52" r="J186"/>
      <c s="52" r="K186"/>
      <c t="str" s="76" r="L186">
        <f>HYPERLINK("http://sofifa.com/en/fifa13winter/player/148703-jun-tae-park","Park Jun Tae")</f>
        <v>Park Jun Tae</v>
      </c>
      <c t="str" s="76" r="M186">
        <f>HYPERLINK("http://sofifa.com/en/fifa13winter/player/147806-joaquin-boghossian","J. Boghossian")</f>
        <v>J. Boghossian</v>
      </c>
      <c s="52" r="N186"/>
    </row>
    <row r="187">
      <c s="52" r="A187"/>
      <c t="str" s="76" r="B187">
        <f>HYPERLINK("http://sofifa.com/en/fifa13winter/player/149596-thievy-bifouma","Thievy")</f>
        <v>Thievy</v>
      </c>
      <c s="52" r="C187"/>
      <c s="52" r="D187"/>
      <c s="52" r="E187"/>
      <c s="52" r="F187"/>
      <c s="52" r="G187"/>
      <c s="52" r="H187"/>
      <c s="52" r="I187"/>
      <c s="52" r="J187"/>
      <c s="52" r="K187"/>
      <c t="str" s="76" r="L187">
        <f>HYPERLINK("http://sofifa.com/en/fifa13winter/player/150384-paulo-henrique-soares-dos-santos","Paulinho")</f>
        <v>Paulinho</v>
      </c>
      <c t="str" s="76" r="M187">
        <f>HYPERLINK("http://sofifa.com/en/fifa13winter/player/145062-jean-alain-boumsong","J. Boumsong")</f>
        <v>J. Boumsong</v>
      </c>
      <c s="52" r="N187"/>
    </row>
    <row r="188">
      <c s="52" r="A188"/>
      <c t="str" s="76" r="B188">
        <f>HYPERLINK("http://sofifa.com/en/fifa13winter/player/148871-victor-ibarbo","V. Ibarbo")</f>
        <v>V. Ibarbo</v>
      </c>
      <c s="52" r="C188"/>
      <c s="52" r="D188"/>
      <c s="52" r="E188"/>
      <c s="52" r="F188"/>
      <c s="52" r="G188"/>
      <c s="52" r="H188"/>
      <c s="52" r="I188"/>
      <c s="52" r="J188"/>
      <c s="52" r="K188"/>
      <c t="str" s="76" r="L188">
        <f>HYPERLINK("http://sofifa.com/en/fifa13winter/player/145829-lucas-pierre-santos-oliveira","Pierre")</f>
        <v>Pierre</v>
      </c>
      <c t="str" s="76" r="M188">
        <f>HYPERLINK("http://sofifa.com/en/fifa13winter/player/144459-jacob-burns","J. Burns")</f>
        <v>J. Burns</v>
      </c>
      <c s="52" r="N188"/>
    </row>
    <row r="189">
      <c s="52" r="A189"/>
      <c t="str" s="76" r="B189">
        <f>HYPERLINK("http://sofifa.com/en/fifa13winter/player/147775-waldemar-sobota","W. Sobota")</f>
        <v>W. Sobota</v>
      </c>
      <c s="52" r="C189"/>
      <c s="52" r="D189"/>
      <c s="52" r="E189"/>
      <c s="52" r="F189"/>
      <c s="52" r="G189"/>
      <c s="52" r="H189"/>
      <c s="52" r="I189"/>
      <c s="52" r="J189"/>
      <c s="52" r="K189"/>
      <c t="str" s="76" r="L189">
        <f>HYPERLINK("http://sofifa.com/en/fifa13winter/player/148460-romain-alessandrini","R. Alessandrini")</f>
        <v>R. Alessandrini</v>
      </c>
      <c t="str" s="76" r="M189">
        <f>HYPERLINK("http://sofifa.com/en/fifa13winter/player/149105-jorge-enriquez","J. Enríquez")</f>
        <v>J. Enríquez</v>
      </c>
      <c s="52" r="N189"/>
    </row>
    <row r="190">
      <c s="52" r="A190"/>
      <c t="str" s="76" r="B190">
        <f>HYPERLINK("http://sofifa.com/en/fifa13winter/player/149616-wellington-s-sanchez-aguiar","Wellington Nem")</f>
        <v>Wellington Nem</v>
      </c>
      <c s="52" r="C190"/>
      <c s="52" r="D190"/>
      <c s="52" r="E190"/>
      <c s="52" r="F190"/>
      <c s="52" r="G190"/>
      <c s="52" r="H190"/>
      <c s="52" r="I190"/>
      <c s="52" r="J190"/>
      <c s="52" r="K190"/>
      <c t="str" s="76" r="L190">
        <f>HYPERLINK("http://sofifa.com/en/fifa13winter/player/146591-rachid-bouaouzan","R. Bouaouzan")</f>
        <v>R. Bouaouzan</v>
      </c>
      <c t="str" s="76" r="M190">
        <f>HYPERLINK("http://sofifa.com/en/fifa13winter/player/149081-jermaine-grandison","J. Grandison")</f>
        <v>J. Grandison</v>
      </c>
      <c s="52" r="N190"/>
    </row>
    <row r="191">
      <c s="52" r="A191"/>
      <c t="str" s="76" r="B191">
        <f>HYPERLINK("http://sofifa.com/en/fifa13winter/player/147566-welliton-soares-de-morais","Welliton")</f>
        <v>Welliton</v>
      </c>
      <c s="52" r="C191"/>
      <c s="52" r="D191"/>
      <c s="52" r="E191"/>
      <c s="52" r="F191"/>
      <c s="52" r="G191"/>
      <c s="52" r="H191"/>
      <c s="52" r="I191"/>
      <c s="52" r="J191"/>
      <c s="52" r="K191"/>
      <c t="str" s="76" r="L191">
        <f>HYPERLINK("http://sofifa.com/en/fifa13winter/player/149255-ryan-dow","R. Dow")</f>
        <v>R. Dow</v>
      </c>
      <c t="str" s="76" r="M191">
        <f>HYPERLINK("http://sofifa.com/en/fifa13winter/player/145716-jorge-guagua","J. Guagua")</f>
        <v>J. Guagua</v>
      </c>
      <c s="52" r="N191"/>
    </row>
    <row r="192">
      <c s="52" r="A192"/>
      <c t="str" s="76" r="B192">
        <f>HYPERLINK("http://sofifa.com/en/fifa13winter/player/149574-wesley-smith-alves-feitosa","Wesley")</f>
        <v>Wesley</v>
      </c>
      <c s="52" r="C192"/>
      <c s="52" r="D192"/>
      <c s="52" r="E192"/>
      <c s="52" r="F192"/>
      <c s="52" r="G192"/>
      <c s="52" r="H192"/>
      <c s="52" r="I192"/>
      <c s="52" r="J192"/>
      <c s="52" r="K192"/>
      <c t="str" s="76" r="L192">
        <f>HYPERLINK("http://sofifa.com/en/fifa13winter/player/147734-royston-drenthe","R. Drenthe")</f>
        <v>R. Drenthe</v>
      </c>
      <c t="str" s="76" r="M192">
        <f>HYPERLINK("http://sofifa.com/en/fifa13winter/player/147794-jorgen-horn","J. Horn")</f>
        <v>J. Horn</v>
      </c>
      <c s="52" r="N192"/>
    </row>
    <row r="193">
      <c s="52" r="A193"/>
      <c t="str" s="76" r="B193">
        <f>HYPERLINK("http://sofifa.com/en/fifa13winter/player/150088-yordy-reyna","Y. Reyna")</f>
        <v>Y. Reyna</v>
      </c>
      <c s="52" r="C193"/>
      <c s="52" r="D193"/>
      <c s="52" r="E193"/>
      <c s="52" r="F193"/>
      <c s="52" r="G193"/>
      <c s="52" r="H193"/>
      <c s="52" r="I193"/>
      <c s="52" r="J193"/>
      <c s="52" r="K193"/>
      <c t="str" s="76" r="L193">
        <f>HYPERLINK("http://sofifa.com/en/fifa13winter/player/150225-ryan-lloyd","R. Lloyd")</f>
        <v>R. Lloyd</v>
      </c>
      <c t="str" s="76" r="M193">
        <f>HYPERLINK("http://sofifa.com/en/fifa13winter/player/148551-jean-armel-kana-biyik","J. Kana-Biyik")</f>
        <v>J. Kana-Biyik</v>
      </c>
      <c s="52" r="N193"/>
    </row>
    <row r="194">
      <c s="52" r="A194"/>
      <c s="52" r="B194"/>
      <c s="52" r="C194"/>
      <c s="52" r="D194"/>
      <c s="52" r="E194"/>
      <c s="52" r="F194"/>
      <c s="52" r="G194"/>
      <c s="52" r="H194"/>
      <c s="52" r="I194"/>
      <c s="52" r="J194"/>
      <c s="52" r="K194"/>
      <c t="str" s="76" r="L194">
        <f>HYPERLINK("http://sofifa.com/en/fifa13winter/player/149811-ryo-miyaichi","R. Miyaichi")</f>
        <v>R. Miyaichi</v>
      </c>
      <c t="str" s="76" r="M194">
        <f>HYPERLINK("http://sofifa.com/en/fifa13winter/player/147693-juraj-kucka","J. Kucka")</f>
        <v>J. Kucka</v>
      </c>
      <c s="52" r="N194"/>
    </row>
    <row r="195">
      <c s="52" r="A195"/>
      <c s="52" r="B195"/>
      <c s="52" r="C195"/>
      <c s="52" r="D195"/>
      <c s="52" r="E195"/>
      <c s="52" r="F195"/>
      <c s="52" r="G195"/>
      <c s="52" r="H195"/>
      <c s="52" r="I195"/>
      <c s="52" r="J195"/>
      <c s="52" r="K195"/>
      <c t="str" s="76" r="L195">
        <f>HYPERLINK("http://sofifa.com/en/fifa13winter/player/147064-riad-nouri","R. Nouri")</f>
        <v>R. Nouri</v>
      </c>
      <c t="str" s="76" r="M195">
        <f>HYPERLINK("http://sofifa.com/en/fifa13winter/player/148377-jasmin-kurtic","J. Kurtić")</f>
        <v>J. Kurtić</v>
      </c>
      <c s="52" r="N195"/>
    </row>
    <row r="196">
      <c s="52" r="A196"/>
      <c s="52" r="B196"/>
      <c s="52" r="C196"/>
      <c s="52" r="D196"/>
      <c s="52" r="E196"/>
      <c s="52" r="F196"/>
      <c s="52" r="G196"/>
      <c s="52" r="H196"/>
      <c s="52" r="I196"/>
      <c s="52" r="J196"/>
      <c s="52" r="K196"/>
      <c t="str" s="76" r="L196">
        <f>HYPERLINK("http://sofifa.com/en/fifa13winter/player/146565-robson-de-souza","Robinho")</f>
        <v>Robinho</v>
      </c>
      <c t="str" s="76" r="M196">
        <f>HYPERLINK("http://sofifa.com/en/fifa13winter/player/147674-jonathan-lacerda","J. Lacerda")</f>
        <v>J. Lacerda</v>
      </c>
      <c s="52" r="N196"/>
    </row>
    <row r="197">
      <c s="52" r="A197"/>
      <c s="52" r="B197"/>
      <c s="52" r="C197"/>
      <c s="52" r="D197"/>
      <c s="52" r="E197"/>
      <c s="52" r="F197"/>
      <c s="52" r="G197"/>
      <c s="52" r="H197"/>
      <c s="52" r="I197"/>
      <c s="52" r="J197"/>
      <c s="52" r="K197"/>
      <c t="str" s="76" r="L197">
        <f>HYPERLINK("http://sofifa.com/en/fifa13winter/player/148889-rodrigo-rios-lozano","Rodri")</f>
        <v>Rodri</v>
      </c>
      <c t="str" s="76" r="M197">
        <f>HYPERLINK("http://sofifa.com/en/fifa13winter/player/147039-jim-larsen","J. Larsen")</f>
        <v>J. Larsen</v>
      </c>
      <c s="52" r="N197"/>
    </row>
    <row r="198">
      <c s="52" r="A198"/>
      <c s="52" r="B198"/>
      <c s="52" r="C198"/>
      <c s="52" r="D198"/>
      <c s="52" r="E198"/>
      <c s="52" r="F198"/>
      <c s="52" r="G198"/>
      <c s="52" r="H198"/>
      <c s="52" r="I198"/>
      <c s="52" r="J198"/>
      <c s="52" r="K198"/>
      <c t="str" s="76" r="L198">
        <f>HYPERLINK("http://sofifa.com/en/fifa13winter/player/146300-rosinei-adolfo","Rosinei")</f>
        <v>Rosinei</v>
      </c>
      <c t="str" s="76" r="M198">
        <f>HYPERLINK("http://sofifa.com/en/fifa13winter/player/146038-joleon-lescott","J. Lescott")</f>
        <v>J. Lescott</v>
      </c>
      <c s="52" r="N198"/>
    </row>
    <row r="199">
      <c s="52" r="A199"/>
      <c s="52" r="B199"/>
      <c s="52" r="C199"/>
      <c s="52" r="D199"/>
      <c s="52" r="E199"/>
      <c s="52" r="F199"/>
      <c s="52" r="G199"/>
      <c s="52" r="H199"/>
      <c s="52" r="I199"/>
      <c s="52" r="J199"/>
      <c s="52" r="K199"/>
      <c t="str" s="76" r="L199">
        <f>HYPERLINK("http://sofifa.com/en/fifa13winter/player/148155-sergio-aguero","S. Agüero")</f>
        <v>S. Agüero</v>
      </c>
      <c t="str" s="76" r="M199">
        <f>HYPERLINK("http://sofifa.com/en/fifa13winter/player/148564-jannik-lohden","J. Löhden")</f>
        <v>J. Löhden</v>
      </c>
      <c s="52" r="N199"/>
    </row>
    <row r="200">
      <c s="52" r="A200"/>
      <c s="52" r="B200"/>
      <c s="52" r="C200"/>
      <c s="52" r="D200"/>
      <c s="52" r="E200"/>
      <c s="52" r="F200"/>
      <c s="52" r="G200"/>
      <c s="52" r="H200"/>
      <c s="52" r="I200"/>
      <c s="52" r="J200"/>
      <c s="52" r="K200"/>
      <c t="str" s="76" r="L200">
        <f>HYPERLINK("http://sofifa.com/en/fifa13winter/player/148764-shafi-al-dossari","S. Al Dossari")</f>
        <v>S. Al Dossari</v>
      </c>
      <c t="str" s="76" r="M200">
        <f>HYPERLINK("http://sofifa.com/en/fifa13winter/player/148959-josh-magennis","J. Magennis")</f>
        <v>J. Magennis</v>
      </c>
      <c s="52" r="N200"/>
    </row>
    <row r="201">
      <c s="52" r="A201"/>
      <c s="52" r="B201"/>
      <c s="52" r="C201"/>
      <c s="52" r="D201"/>
      <c s="52" r="E201"/>
      <c s="52" r="F201"/>
      <c s="52" r="G201"/>
      <c s="52" r="H201"/>
      <c s="52" r="I201"/>
      <c s="52" r="J201"/>
      <c s="52" r="K201"/>
      <c t="str" s="76" r="L201">
        <f>HYPERLINK("http://sofifa.com/en/fifa13winter/player/150440-shadrach-eghan","S. Eghan")</f>
        <v>S. Eghan</v>
      </c>
      <c t="str" s="76" r="M201">
        <f>HYPERLINK("http://sofifa.com/en/fifa13winter/player/149171-jeremy-malherbe","J. Malherbe")</f>
        <v>J. Malherbe</v>
      </c>
      <c s="52" r="N201"/>
    </row>
    <row r="202">
      <c s="52" r="A202"/>
      <c s="52" r="B202"/>
      <c s="52" r="C202"/>
      <c s="52" r="D202"/>
      <c s="52" r="E202"/>
      <c s="52" r="F202"/>
      <c s="52" r="G202"/>
      <c s="52" r="H202"/>
      <c s="52" r="I202"/>
      <c s="52" r="J202"/>
      <c s="52" r="K202"/>
      <c t="str" s="76" r="L202">
        <f>HYPERLINK("http://sofifa.com/en/fifa13winter/player/145514-samuel-etoo","S. Eto'o")</f>
        <v>S. Eto'o</v>
      </c>
      <c t="str" s="76" r="M202">
        <f>HYPERLINK("http://sofifa.com/en/fifa13winter/player/147547-jackson-martinez","J. Martínez")</f>
        <v>J. Martínez</v>
      </c>
      <c s="52" r="N202"/>
    </row>
    <row r="203">
      <c s="52" r="A203"/>
      <c s="52" r="B203"/>
      <c s="52" r="C203"/>
      <c s="52" r="D203"/>
      <c s="52" r="E203"/>
      <c s="52" r="F203"/>
      <c s="52" r="G203"/>
      <c s="52" r="H203"/>
      <c s="52" r="I203"/>
      <c s="52" r="J203"/>
      <c s="52" r="K203"/>
      <c t="str" s="76" r="L203">
        <f>HYPERLINK("http://sofifa.com/en/fifa13winter/player/147662-sebastian-giovinco","S. Giovinco")</f>
        <v>S. Giovinco</v>
      </c>
      <c t="str" s="76" r="M203">
        <f>HYPERLINK("http://sofifa.com/en/fifa13winter/player/146176-jamie-mccombe","J. McCombe")</f>
        <v>J. McCombe</v>
      </c>
      <c s="52" r="N203"/>
    </row>
    <row r="204">
      <c s="52" r="A204"/>
      <c s="52" r="B204"/>
      <c s="52" r="C204"/>
      <c s="52" r="D204"/>
      <c s="52" r="E204"/>
      <c s="52" r="F204"/>
      <c s="52" r="G204"/>
      <c s="52" r="H204"/>
      <c s="52" r="I204"/>
      <c s="52" r="J204"/>
      <c s="52" r="K204"/>
      <c t="str" s="76" r="L204">
        <f>HYPERLINK("http://sofifa.com/en/fifa13winter/player/148443-shinji-kagawa","S. Kagawa")</f>
        <v>S. Kagawa</v>
      </c>
      <c t="str" s="76" r="M204">
        <f>HYPERLINK("http://sofifa.com/en/fifa13winter/player/147748-john-obi-mikel","J. Mikel")</f>
        <v>J. Mikel</v>
      </c>
      <c s="52" r="N204"/>
    </row>
    <row r="205">
      <c s="52" r="A205"/>
      <c s="52" r="B205"/>
      <c s="52" r="C205"/>
      <c s="52" r="D205"/>
      <c s="52" r="E205"/>
      <c s="52" r="F205"/>
      <c s="52" r="G205"/>
      <c s="52" r="H205"/>
      <c s="52" r="I205"/>
      <c s="52" r="J205"/>
      <c s="52" r="K205"/>
      <c t="str" s="76" r="L205">
        <f>HYPERLINK("http://sofifa.com/en/fifa13winter/player/148888-sekou-oliseh","S. Oliseh")</f>
        <v>S. Oliseh</v>
      </c>
      <c t="str" s="76" r="M205">
        <f>HYPERLINK("http://sofifa.com/en/fifa13winter/player/146583-jacob-mulenga","J. Mulenga")</f>
        <v>J. Mulenga</v>
      </c>
      <c s="52" r="N205"/>
    </row>
    <row r="206">
      <c s="52" r="A206"/>
      <c s="52" r="B206"/>
      <c s="52" r="C206"/>
      <c s="52" r="D206"/>
      <c s="52" r="E206"/>
      <c s="52" r="F206"/>
      <c s="52" r="G206"/>
      <c s="52" r="H206"/>
      <c s="52" r="I206"/>
      <c s="52" r="J206"/>
      <c s="52" r="K206"/>
      <c t="str" s="76" r="L206">
        <f>HYPERLINK("http://sofifa.com/en/fifa13winter/player/145886-steven-pienaar","S. Pienaar")</f>
        <v>S. Pienaar</v>
      </c>
      <c t="str" s="76" r="M206">
        <f>HYPERLINK("http://sofifa.com/en/fifa13winter/player/148251-jean-yves-mvoto","J. M'voto")</f>
        <v>J. M'voto</v>
      </c>
      <c s="52" r="N206"/>
    </row>
    <row r="207">
      <c s="52" r="A207"/>
      <c s="52" r="B207"/>
      <c s="52" r="C207"/>
      <c s="52" r="D207"/>
      <c s="52" r="E207"/>
      <c s="52" r="F207"/>
      <c s="52" r="G207"/>
      <c s="52" r="H207"/>
      <c s="52" r="I207"/>
      <c s="52" r="J207"/>
      <c s="52" r="K207"/>
      <c t="str" s="76" r="L207">
        <f>HYPERLINK("http://sofifa.com/en/fifa13winter/player/147362-stephen-quinn","S. Quinn")</f>
        <v>S. Quinn</v>
      </c>
      <c t="str" s="76" r="M207">
        <f>HYPERLINK("http://sofifa.com/en/fifa13winter/player/149514-jonathan-nanizayamo","J. Nanizayamo")</f>
        <v>J. Nanizayamo</v>
      </c>
      <c s="52" r="N207"/>
    </row>
    <row r="208">
      <c s="52" r="A208"/>
      <c s="52" r="B208"/>
      <c s="52" r="C208"/>
      <c s="52" r="D208"/>
      <c s="52" r="E208"/>
      <c s="52" r="F208"/>
      <c s="52" r="G208"/>
      <c s="52" r="H208"/>
      <c s="52" r="I208"/>
      <c s="52" r="J208"/>
      <c s="52" r="K208"/>
      <c t="str" s="76" r="L208">
        <f>HYPERLINK("http://sofifa.com/en/fifa13winter/player/148032-sidney-sam","S. Sam")</f>
        <v>S. Sam</v>
      </c>
      <c t="str" s="76" r="M208">
        <f>HYPERLINK("http://sofifa.com/en/fifa13winter/player/149685-jores-okore","J. Okore")</f>
        <v>J. Okore</v>
      </c>
      <c s="52" r="N208"/>
    </row>
    <row r="209">
      <c s="52" r="A209"/>
      <c s="52" r="B209"/>
      <c s="52" r="C209"/>
      <c s="52" r="D209"/>
      <c s="52" r="E209"/>
      <c s="52" r="F209"/>
      <c s="52" r="G209"/>
      <c s="52" r="H209"/>
      <c s="52" r="I209"/>
      <c s="52" r="J209"/>
      <c s="52" r="K209"/>
      <c t="str" s="76" r="L209">
        <f>HYPERLINK("http://sofifa.com/en/fifa13winter/player/147504-stephan-schrock","S. Schröck")</f>
        <v>S. Schröck</v>
      </c>
      <c t="str" s="76" r="M209">
        <f>HYPERLINK("http://sofifa.com/en/fifa13winter/player/145497-jamison-olave","J. Olave")</f>
        <v>J. Olave</v>
      </c>
      <c s="52" r="N209"/>
    </row>
    <row r="210">
      <c s="52" r="A210"/>
      <c s="52" r="B210"/>
      <c s="52" r="C210"/>
      <c s="52" r="D210"/>
      <c s="52" r="E210"/>
      <c s="52" r="F210"/>
      <c s="52" r="G210"/>
      <c s="52" r="H210"/>
      <c s="52" r="I210"/>
      <c s="52" r="J210"/>
      <c s="52" r="K210"/>
      <c t="str" s="76" r="L210">
        <f>HYPERLINK("http://sofifa.com/en/fifa13winter/player/148451-scott-sinclair","S. Sinclair")</f>
        <v>S. Sinclair</v>
      </c>
      <c t="str" s="76" r="M210">
        <f>HYPERLINK("http://sofifa.com/en/fifa13winter/player/145809-jon-parkin","J. Parkin")</f>
        <v>J. Parkin</v>
      </c>
      <c s="52" r="N210"/>
    </row>
    <row r="211">
      <c s="52" r="A211"/>
      <c s="52" r="B211"/>
      <c s="52" r="C211"/>
      <c s="52" r="D211"/>
      <c s="52" r="E211"/>
      <c s="52" r="F211"/>
      <c s="52" r="G211"/>
      <c s="52" r="H211"/>
      <c s="52" r="I211"/>
      <c s="52" r="J211"/>
      <c s="52" r="K211"/>
      <c t="str" s="76" r="L211">
        <f>HYPERLINK("http://sofifa.com/en/fifa13winter/player/148041-steve-zakuani","S. Zakuani")</f>
        <v>S. Zakuani</v>
      </c>
      <c t="str" s="76" r="M211">
        <f>HYPERLINK("http://sofifa.com/en/fifa13winter/player/144374-jason-roberts","J. Roberts")</f>
        <v>J. Roberts</v>
      </c>
      <c s="52" r="N211"/>
    </row>
    <row r="212">
      <c s="52" r="A212"/>
      <c s="52" r="B212"/>
      <c s="52" r="C212"/>
      <c s="52" r="D212"/>
      <c s="52" r="E212"/>
      <c s="52" r="F212"/>
      <c s="52" r="G212"/>
      <c s="52" r="H212"/>
      <c s="52" r="I212"/>
      <c s="52" r="J212"/>
      <c s="52" r="K212"/>
      <c t="str" s="76" r="L212">
        <f>HYPERLINK("http://sofifa.com/en/fifa13winter/player/146888-santiago-cazorla-gonzalez","Santi Cazorla")</f>
        <v>Santi Cazorla</v>
      </c>
      <c t="str" s="76" r="M212">
        <f>HYPERLINK("http://sofifa.com/en/fifa13winter/player/146535-john-sutton","J. Sutton")</f>
        <v>J. Sutton</v>
      </c>
      <c s="52" r="N212"/>
    </row>
    <row r="213">
      <c s="52" r="A213"/>
      <c s="52" r="B213"/>
      <c s="52" r="C213"/>
      <c s="52" r="D213"/>
      <c s="52" r="E213"/>
      <c s="52" r="F213"/>
      <c s="52" r="G213"/>
      <c s="52" r="H213"/>
      <c s="52" r="I213"/>
      <c s="52" r="J213"/>
      <c s="52" r="K213"/>
      <c t="str" s="76" r="L213">
        <f>HYPERLINK("http://sofifa.com/en/fifa13winter/player/149671-tom-bradshaw","T. Bradshaw")</f>
        <v>T. Bradshaw</v>
      </c>
      <c t="str" s="76" r="M213">
        <f>HYPERLINK("http://sofifa.com/en/fifa13winter/player/146458-jelle-van-damme","J. Van Damme")</f>
        <v>J. Van Damme</v>
      </c>
      <c s="52" r="N213"/>
    </row>
    <row r="214">
      <c s="52" r="A214"/>
      <c s="52" r="B214"/>
      <c s="52" r="C214"/>
      <c s="52" r="D214"/>
      <c s="52" r="E214"/>
      <c s="52" r="F214"/>
      <c s="52" r="G214"/>
      <c s="52" r="H214"/>
      <c s="52" r="I214"/>
      <c s="52" r="J214"/>
      <c s="52" r="K214"/>
      <c t="str" s="76" r="L214">
        <f>HYPERLINK("http://sofifa.com/en/fifa13winter/player/149513-thomas-drage","T. Drage")</f>
        <v>T. Drage</v>
      </c>
      <c t="str" s="76" r="M214">
        <f>HYPERLINK("http://sofifa.com/en/fifa13winter/player/149678-jannick-vestergaard","J. Vestergaard")</f>
        <v>J. Vestergaard</v>
      </c>
      <c s="52" r="N214"/>
    </row>
    <row r="215">
      <c s="52" r="A215"/>
      <c s="52" r="B215"/>
      <c s="52" r="C215"/>
      <c s="52" r="D215"/>
      <c s="52" r="E215"/>
      <c s="52" r="F215"/>
      <c s="52" r="G215"/>
      <c s="52" r="H215"/>
      <c s="52" r="I215"/>
      <c s="52" r="J215"/>
      <c s="52" r="K215"/>
      <c t="str" s="76" r="L215">
        <f>HYPERLINK("http://sofifa.com/en/fifa13winter/player/148055-tarik-elyounoussi","T. Elyounoussi")</f>
        <v>T. Elyounoussi</v>
      </c>
      <c t="str" s="76" r="M215">
        <f>HYPERLINK("http://sofifa.com/en/fifa13winter/player/149293-jakub-wiezik","J. Więzik")</f>
        <v>J. Więzik</v>
      </c>
      <c s="52" r="N215"/>
    </row>
    <row r="216">
      <c s="52" r="A216"/>
      <c s="52" r="B216"/>
      <c s="52" r="C216"/>
      <c s="52" r="D216"/>
      <c s="52" r="E216"/>
      <c s="52" r="F216"/>
      <c s="52" r="G216"/>
      <c s="52" r="H216"/>
      <c s="52" r="I216"/>
      <c s="52" r="J216"/>
      <c s="52" r="K216"/>
      <c t="str" s="76" r="L216">
        <f>HYPERLINK("http://sofifa.com/en/fifa13winter/player/148155-takashi-inui","T. Inui")</f>
        <v>T. Inui</v>
      </c>
      <c t="str" s="76" r="M216">
        <f>HYPERLINK("http://sofifa.com/en/fifa13winter/player/147675-fran-javier-garcia-fernandez","Javi García")</f>
        <v>Javi García</v>
      </c>
      <c s="52" r="N216"/>
    </row>
    <row r="217">
      <c s="52" r="A217"/>
      <c s="52" r="B217"/>
      <c s="52" r="C217"/>
      <c s="52" r="D217"/>
      <c s="52" r="E217"/>
      <c s="52" r="F217"/>
      <c s="52" r="G217"/>
      <c s="52" r="H217"/>
      <c s="52" r="I217"/>
      <c s="52" r="J217"/>
      <c s="52" r="K217"/>
      <c t="str" s="76" r="L217">
        <f>HYPERLINK("http://sofifa.com/en/fifa13winter/player/148953-tokelo-rantie","T. Rantie")</f>
        <v>T. Rantie</v>
      </c>
      <c t="str" s="76" r="M217">
        <f>HYPERLINK("http://sofifa.com/en/fifa13winter/player/148247-javier-martinez-aginaga","Javi Martinez")</f>
        <v>Javi Martinez</v>
      </c>
      <c s="52" r="N217"/>
    </row>
    <row r="218">
      <c s="52" r="A218"/>
      <c s="52" r="B218"/>
      <c s="52" r="C218"/>
      <c s="52" r="D218"/>
      <c s="52" r="E218"/>
      <c s="52" r="F218"/>
      <c s="52" r="G218"/>
      <c s="52" r="H218"/>
      <c s="52" r="I218"/>
      <c s="52" r="J218"/>
      <c s="52" r="K218"/>
      <c t="str" s="76" r="L218">
        <f>HYPERLINK("http://sofifa.com/en/fifa13winter/player/148559-tobias-sana","T. Sana")</f>
        <v>T. Sana</v>
      </c>
      <c t="str" s="76" r="M218">
        <f>HYPERLINK("http://sofifa.com/en/fifa13winter/player/144899-shung-hoon-jeong","Jeong Shung Hoon")</f>
        <v>Jeong Shung Hoon</v>
      </c>
      <c s="52" r="N218"/>
    </row>
    <row r="219">
      <c s="52" r="A219"/>
      <c s="52" r="B219"/>
      <c s="52" r="C219"/>
      <c s="52" r="D219"/>
      <c s="52" r="E219"/>
      <c s="52" r="F219"/>
      <c s="52" r="G219"/>
      <c s="52" r="H219"/>
      <c s="52" r="I219"/>
      <c s="52" r="J219"/>
      <c s="52" r="K219"/>
      <c t="str" s="76" r="L219">
        <f>HYPERLINK("http://sofifa.com/en/fifa13winter/player/146001-tomasz-wrobel","T. Wróbel")</f>
        <v>T. Wróbel</v>
      </c>
      <c t="str" s="76" r="M219">
        <f>HYPERLINK("http://sofifa.com/en/fifa13winter/player/145922-jorge-molina-vidal","Jorge Molina")</f>
        <v>Jorge Molina</v>
      </c>
      <c s="52" r="N219"/>
    </row>
    <row r="220">
      <c s="52" r="A220"/>
      <c s="52" r="B220"/>
      <c s="52" r="C220"/>
      <c s="52" r="D220"/>
      <c s="52" r="E220"/>
      <c s="52" r="F220"/>
      <c s="52" r="G220"/>
      <c s="52" r="H220"/>
      <c s="52" r="I220"/>
      <c s="52" r="J220"/>
      <c s="52" r="K220"/>
      <c t="str" s="76" r="L220">
        <f>HYPERLINK("http://sofifa.com/en/fifa13winter/player/147438-urby-emanuelson","U. Emanuelson")</f>
        <v>U. Emanuelson</v>
      </c>
      <c t="str" s="76" r="M220">
        <f>HYPERLINK("http://sofifa.com/en/fifa13winter/player/149462-jose-manuel-gomez-meneses","Josema")</f>
        <v>Josema</v>
      </c>
      <c s="52" r="N220"/>
    </row>
    <row r="221">
      <c s="52" r="A221"/>
      <c s="52" r="B221"/>
      <c s="52" r="C221"/>
      <c s="52" r="D221"/>
      <c s="52" r="E221"/>
      <c s="52" r="F221"/>
      <c s="52" r="G221"/>
      <c s="52" r="H221"/>
      <c s="52" r="I221"/>
      <c s="52" r="J221"/>
      <c s="52" r="K221"/>
      <c t="str" s="76" r="L221">
        <f>HYPERLINK("http://sofifa.com/en/fifa13winter/player/146571-vladimir-bystrov","V. Bystrov")</f>
        <v>V. Bystrov</v>
      </c>
      <c t="str" s="76" r="M221">
        <f>HYPERLINK("http://sofifa.com/en/fifa13winter/player/150433-bernard-malanda-adje","Junior Malanda")</f>
        <v>Junior Malanda</v>
      </c>
      <c s="52" r="N221"/>
    </row>
    <row r="222">
      <c s="52" r="A222"/>
      <c s="52" r="B222"/>
      <c s="52" r="C222"/>
      <c s="52" r="D222"/>
      <c s="52" r="E222"/>
      <c s="52" r="F222"/>
      <c s="52" r="G222"/>
      <c s="52" r="H222"/>
      <c s="52" r="I222"/>
      <c s="52" r="J222"/>
      <c s="52" r="K222"/>
      <c t="str" s="76" r="L222">
        <f>HYPERLINK("http://sofifa.com/en/fifa13winter/player/148839-valere-germain","V. Germain")</f>
        <v>V. Germain</v>
      </c>
      <c t="str" s="76" r="M222">
        <f>HYPERLINK("http://sofifa.com/en/fifa13winter/player/147457-kevin-anin","K. Anin")</f>
        <v>K. Anin</v>
      </c>
      <c s="52" r="N222"/>
    </row>
    <row r="223">
      <c s="52" r="A223"/>
      <c s="52" r="B223"/>
      <c s="52" r="C223"/>
      <c s="52" r="D223"/>
      <c s="52" r="E223"/>
      <c s="52" r="F223"/>
      <c s="52" r="G223"/>
      <c s="52" r="H223"/>
      <c s="52" r="I223"/>
      <c s="52" r="J223"/>
      <c s="52" r="K223"/>
      <c t="str" s="76" r="L223">
        <f>HYPERLINK("http://sofifa.com/en/fifa13winter/player/149603-vaclav-kadlec","V. Kadlec")</f>
        <v>V. Kadlec</v>
      </c>
      <c t="str" s="76" r="M223">
        <f>HYPERLINK("http://sofifa.com/en/fifa13winter/player/149904-khouma-babacar","K. Babacar")</f>
        <v>K. Babacar</v>
      </c>
      <c s="52" r="N223"/>
    </row>
    <row r="224">
      <c s="52" r="A224"/>
      <c s="52" r="B224"/>
      <c s="52" r="C224"/>
      <c s="52" r="D224"/>
      <c s="52" r="E224"/>
      <c s="52" r="F224"/>
      <c s="52" r="G224"/>
      <c s="52" r="H224"/>
      <c s="52" r="I224"/>
      <c s="52" r="J224"/>
      <c s="52" r="K224"/>
      <c t="str" s="76" r="L224">
        <f>HYPERLINK("http://sofifa.com/en/fifa13winter/player/150033-virgil-misidjan","V. Misidjan")</f>
        <v>V. Misidjan</v>
      </c>
      <c t="str" s="76" r="M224">
        <f>HYPERLINK("http://sofifa.com/en/fifa13winter/player/147701-kevin-prince-boateng","K. Boateng")</f>
        <v>K. Boateng</v>
      </c>
      <c s="52" r="N224"/>
    </row>
    <row r="225">
      <c s="52" r="A225"/>
      <c s="52" r="B225"/>
      <c s="52" r="C225"/>
      <c s="52" r="D225"/>
      <c s="52" r="E225"/>
      <c s="52" r="F225"/>
      <c s="52" r="G225"/>
      <c s="52" r="H225"/>
      <c s="52" r="I225"/>
      <c s="52" r="J225"/>
      <c s="52" r="K225"/>
      <c t="str" s="76" r="L225">
        <f>HYPERLINK("http://sofifa.com/en/fifa13winter/player/148072-vincenzo-sarno","V. Sarno")</f>
        <v>V. Sarno</v>
      </c>
      <c t="str" s="76" r="M225">
        <f>HYPERLINK("http://sofifa.com/en/fifa13winter/player/146835-kenny-cooper","K. Cooper")</f>
        <v>K. Cooper</v>
      </c>
      <c s="52" r="N225"/>
    </row>
    <row r="226">
      <c s="52" r="A226"/>
      <c s="52" r="B226"/>
      <c s="52" r="C226"/>
      <c s="52" r="D226"/>
      <c s="52" r="E226"/>
      <c s="52" r="F226"/>
      <c s="52" r="G226"/>
      <c s="52" r="H226"/>
      <c s="52" r="I226"/>
      <c s="52" r="J226"/>
      <c s="52" r="K226"/>
      <c t="str" s="76" r="L226">
        <f>HYPERLINK("http://sofifa.com/en/fifa13winter/player/148469-valentin-stocker","V. Stocker")</f>
        <v>V. Stocker</v>
      </c>
      <c t="str" s="76" r="M226">
        <f>HYPERLINK("http://sofifa.com/en/fifa13winter/player/146913-karim-guede","K. Guédé")</f>
        <v>K. Guédé</v>
      </c>
      <c s="52" r="N226"/>
    </row>
    <row r="227">
      <c s="52" r="A227"/>
      <c s="52" r="B227"/>
      <c s="52" r="C227"/>
      <c s="52" r="D227"/>
      <c s="52" r="E227"/>
      <c s="52" r="F227"/>
      <c s="52" r="G227"/>
      <c s="52" r="H227"/>
      <c s="52" r="I227"/>
      <c s="52" r="J227"/>
      <c s="52" r="K227"/>
      <c t="str" s="76" r="L227">
        <f>HYPERLINK("http://sofifa.com/en/fifa13winter/player/147006-willo-flood","W. Flood")</f>
        <v>W. Flood</v>
      </c>
      <c t="str" s="76" r="M227">
        <f>HYPERLINK("http://sofifa.com/en/fifa13winter/player/148523-khaleem-hyland","K. Hyland")</f>
        <v>K. Hyland</v>
      </c>
      <c s="52" r="N227"/>
    </row>
    <row r="228">
      <c s="52" r="A228"/>
      <c s="52" r="B228"/>
      <c s="52" r="C228"/>
      <c s="52" r="D228"/>
      <c s="52" r="E228"/>
      <c s="52" r="F228"/>
      <c s="52" r="G228"/>
      <c s="52" r="H228"/>
      <c s="52" r="I228"/>
      <c s="52" r="J228"/>
      <c s="52" r="K228"/>
      <c t="str" s="76" r="L228">
        <f>HYPERLINK("http://sofifa.com/en/fifa13winter/player/146645-walter-montillo","W. Montillo")</f>
        <v>W. Montillo</v>
      </c>
      <c t="str" s="76" r="M228">
        <f>HYPERLINK("http://sofifa.com/en/fifa13winter/player/146819-kenwyne-jones","K. Jones")</f>
        <v>K. Jones</v>
      </c>
      <c s="52" r="N228"/>
    </row>
    <row r="229">
      <c s="52" r="A229"/>
      <c s="52" r="B229"/>
      <c s="52" r="C229"/>
      <c s="52" r="D229"/>
      <c s="52" r="E229"/>
      <c s="52" r="F229"/>
      <c s="52" r="G229"/>
      <c s="52" r="H229"/>
      <c s="52" r="I229"/>
      <c s="52" r="J229"/>
      <c s="52" r="K229"/>
      <c t="str" s="76" r="L229">
        <f>HYPERLINK("http://sofifa.com/en/fifa13winter/player/147775-waldemar-sobota","W. Sobota")</f>
        <v>W. Sobota</v>
      </c>
      <c t="str" s="76" r="M229">
        <f>HYPERLINK("http://sofifa.com/en/fifa13winter/player/149268-kalidou-koulibaly","K. Koulibaly")</f>
        <v>K. Koulibaly</v>
      </c>
      <c s="52" r="N229"/>
    </row>
    <row r="230">
      <c s="52" r="A230"/>
      <c s="52" r="B230"/>
      <c s="52" r="C230"/>
      <c s="52" r="D230"/>
      <c s="52" r="E230"/>
      <c s="52" r="F230"/>
      <c s="52" r="G230"/>
      <c s="52" r="H230"/>
      <c s="52" r="I230"/>
      <c s="52" r="J230"/>
      <c s="52" r="K230"/>
      <c t="str" s="76" r="L230">
        <f>HYPERLINK("http://sofifa.com/en/fifa13winter/player/149834-wellington-alves-da-silva","Wellington Silva")</f>
        <v>Wellington Silva</v>
      </c>
      <c t="str" s="76" r="M230">
        <f>HYPERLINK("http://sofifa.com/en/fifa13winter/player/145871-kevin-kuranyi","K. Kuranyi")</f>
        <v>K. Kuranyi</v>
      </c>
      <c s="52" r="N230"/>
    </row>
    <row r="231">
      <c s="52" r="A231"/>
      <c s="52" r="B231"/>
      <c s="52" r="C231"/>
      <c s="52" r="D231"/>
      <c s="52" r="E231"/>
      <c s="52" r="F231"/>
      <c s="52" r="G231"/>
      <c s="52" r="H231"/>
      <c s="52" r="I231"/>
      <c s="52" r="J231"/>
      <c s="52" r="K231"/>
      <c t="str" s="76" r="L231">
        <f>HYPERLINK("http://sofifa.com/en/fifa13winter/player/149380-xherdan-shaqiri","X. Shaqiri")</f>
        <v>X. Shaqiri</v>
      </c>
      <c t="str" s="76" r="M231">
        <f>HYPERLINK("http://sofifa.com/en/fifa13winter/player/146988-kelvin-langmead","K. Langmead")</f>
        <v>K. Langmead</v>
      </c>
      <c s="52" r="N231"/>
    </row>
    <row r="232">
      <c s="52" r="A232"/>
      <c s="52" r="B232"/>
      <c s="52" r="C232"/>
      <c s="52" r="D232"/>
      <c s="52" r="E232"/>
      <c s="52" r="F232"/>
      <c s="52" r="G232"/>
      <c s="52" r="H232"/>
      <c s="52" r="I232"/>
      <c s="52" r="J232"/>
      <c s="52" r="K232"/>
      <c t="str" s="76" r="L232">
        <f>HYPERLINK("http://sofifa.com/en/fifa13winter/player/147536-yassine-chikhaoui","Y. Chikhaoui")</f>
        <v>Y. Chikhaoui</v>
      </c>
      <c t="str" s="76" r="M232">
        <f>HYPERLINK("http://sofifa.com/en/fifa13winter/player/146257-kader-mangane","K. Mangane")</f>
        <v>K. Mangane</v>
      </c>
      <c s="52" r="N232"/>
    </row>
    <row r="233">
      <c s="52" r="A233"/>
      <c s="52" r="B233"/>
      <c s="52" r="C233"/>
      <c s="52" r="D233"/>
      <c s="52" r="E233"/>
      <c s="52" r="F233"/>
      <c s="52" r="G233"/>
      <c s="52" r="H233"/>
      <c s="52" r="I233"/>
      <c s="52" r="J233"/>
      <c s="52" r="K233"/>
      <c t="str" s="76" r="L233">
        <f>HYPERLINK("http://sofifa.com/en/fifa13winter/player/147670-youssef-el-arabi","Y. El Arabi")</f>
        <v>Y. El Arabi</v>
      </c>
      <c t="str" s="76" r="M233">
        <f>HYPERLINK("http://sofifa.com/en/fifa13winter/player/148338-kim-ojo","K. Ojo")</f>
        <v>K. Ojo</v>
      </c>
      <c s="52" r="N233"/>
    </row>
    <row r="234">
      <c s="52" r="A234"/>
      <c s="52" r="B234"/>
      <c s="52" r="C234"/>
      <c s="52" r="D234"/>
      <c s="52" r="E234"/>
      <c s="52" r="F234"/>
      <c s="52" r="G234"/>
      <c s="52" r="H234"/>
      <c s="52" r="I234"/>
      <c s="52" r="J234"/>
      <c s="52" r="K234"/>
      <c t="str" s="76" r="L234">
        <f>HYPERLINK("http://sofifa.com/en/fifa13winter/player/148925-yassine-el-ghanassy","Y. El Ghanassy")</f>
        <v>Y. El Ghanassy</v>
      </c>
      <c t="str" s="76" r="M234">
        <f>HYPERLINK("http://sofifa.com/en/fifa13winter/player/149516-kyriakos-papadopoulos","K. Papadopoulos")</f>
        <v>K. Papadopoulos</v>
      </c>
      <c s="52" r="N234"/>
    </row>
    <row r="235">
      <c s="52" r="A235"/>
      <c s="52" r="B235"/>
      <c s="52" r="C235"/>
      <c s="52" r="D235"/>
      <c s="52" r="E235"/>
      <c s="52" r="F235"/>
      <c s="52" r="G235"/>
      <c s="52" r="H235"/>
      <c s="52" r="I235"/>
      <c s="52" r="J235"/>
      <c s="52" r="K235"/>
      <c t="str" s="76" r="L235">
        <f>HYPERLINK("http://sofifa.com/en/fifa13winter/player/150075-yannick-ferreira-carrasco","Y. Ferreira Carrasco")</f>
        <v>Y. Ferreira Carrasco</v>
      </c>
      <c t="str" s="76" r="M235">
        <f>HYPERLINK("http://sofifa.com/en/fifa13winter/player/148448-kevin-pezzoni","K. Pezzoni")</f>
        <v>K. Pezzoni</v>
      </c>
      <c s="52" r="N235"/>
    </row>
    <row r="236">
      <c s="52" r="A236"/>
      <c s="52" r="B236"/>
      <c s="52" r="C236"/>
      <c s="52" r="D236"/>
      <c s="52" r="E236"/>
      <c s="52" r="F236"/>
      <c s="52" r="G236"/>
      <c s="52" r="H236"/>
      <c s="52" r="I236"/>
      <c s="52" r="J236"/>
      <c s="52" r="K236"/>
      <c t="str" s="76" r="L236">
        <f>HYPERLINK("http://sofifa.com/en/fifa13winter/player/146042-youssouf-hersi","Y. Hersi")</f>
        <v>Y. Hersi</v>
      </c>
      <c t="str" s="76" r="M236">
        <f>HYPERLINK("http://sofifa.com/en/fifa13winter/player/147437-kaja-rogulj","K. Rogulj")</f>
        <v>K. Rogulj</v>
      </c>
      <c s="52" r="N236"/>
    </row>
    <row r="237">
      <c s="52" r="A237"/>
      <c s="52" r="B237"/>
      <c s="52" r="C237"/>
      <c s="52" r="D237"/>
      <c s="52" r="E237"/>
      <c s="52" r="F237"/>
      <c s="52" r="G237"/>
      <c s="52" r="H237"/>
      <c s="52" r="I237"/>
      <c s="52" r="J237"/>
      <c s="52" r="K237"/>
      <c t="str" s="76" r="L237">
        <f>HYPERLINK("http://sofifa.com/en/fifa13winter/player/147526-yuto-nagatomo","Y. Nagatomo")</f>
        <v>Y. Nagatomo</v>
      </c>
      <c t="str" s="76" r="M237">
        <f>HYPERLINK("http://sofifa.com/en/fifa13winter/player/146930-kornel-salata","K. Saláta")</f>
        <v>K. Saláta</v>
      </c>
      <c s="52" r="N237"/>
    </row>
    <row r="238">
      <c s="52" r="A238"/>
      <c s="52" r="B238"/>
      <c s="52" r="C238"/>
      <c s="52" r="D238"/>
      <c s="52" r="E238"/>
      <c s="52" r="F238"/>
      <c s="52" r="G238"/>
      <c s="52" r="H238"/>
      <c s="52" r="I238"/>
      <c s="52" r="J238"/>
      <c s="52" r="K238"/>
      <c t="str" s="76" r="L238">
        <f>HYPERLINK("http://sofifa.com/en/fifa13winter/player/149175-yohandry-orozco","Y. Orozco")</f>
        <v>Y. Orozco</v>
      </c>
      <c t="str" s="76" r="M238">
        <f>HYPERLINK("http://sofifa.com/en/fifa13winter/player/147888-kalilou-traore","K. Traoré")</f>
        <v>K. Traoré</v>
      </c>
      <c s="52" r="N238"/>
    </row>
    <row r="239">
      <c s="52" r="A239"/>
      <c s="52" r="B239"/>
      <c s="52" r="C239"/>
      <c s="52" r="D239"/>
      <c s="52" r="E239"/>
      <c s="52" r="F239"/>
      <c s="52" r="G239"/>
      <c s="52" r="H239"/>
      <c s="52" r="I239"/>
      <c s="52" r="J239"/>
      <c s="52" r="K239"/>
      <c t="str" s="76" r="L239">
        <f>HYPERLINK("http://sofifa.com/en/fifa13winter/player/150088-yordy-reyna","Y. Reyna")</f>
        <v>Y. Reyna</v>
      </c>
      <c t="str" s="76" r="M239">
        <f>HYPERLINK("http://sofifa.com/en/fifa13winter/player/148167-kevin-vinetot","K. Vinetot")</f>
        <v>K. Vinetot</v>
      </c>
      <c s="52" r="N239"/>
    </row>
    <row r="240">
      <c s="52" r="A240"/>
      <c s="52" r="B240"/>
      <c s="52" r="C240"/>
      <c s="52" r="D240"/>
      <c s="52" r="E240"/>
      <c s="52" r="F240"/>
      <c s="52" r="G240"/>
      <c s="52" r="H240"/>
      <c s="52" r="I240"/>
      <c s="52" r="J240"/>
      <c s="52" r="K240"/>
      <c t="str" s="76" r="L240">
        <f>HYPERLINK("http://sofifa.com/en/fifa13winter/player/147396-yannick-dos-santos-djalo","Yannick Djaló")</f>
        <v>Yannick Djaló</v>
      </c>
      <c t="str" s="76" r="M240">
        <f>HYPERLINK("http://sofifa.com/en/fifa13winter/player/147588-kwame-watson-siriboe","K. Watson-Siriboe")</f>
        <v>K. Watson-Siriboe</v>
      </c>
      <c s="52" r="N240"/>
    </row>
    <row r="241">
      <c s="52" r="A241"/>
      <c s="52" r="B241"/>
      <c s="52" r="C241"/>
      <c s="52" r="D241"/>
      <c s="52" r="E241"/>
      <c s="52" r="F241"/>
      <c s="52" r="G241"/>
      <c s="52" r="H241"/>
      <c s="52" r="I241"/>
      <c s="52" r="J241"/>
      <c s="52" r="K241"/>
      <c t="str" s="76" r="L241">
        <f>HYPERLINK("http://sofifa.com/en/fifa13winter/player/148363-zavon-hines","Z. Hines")</f>
        <v>Z. Hines</v>
      </c>
      <c t="str" s="76" r="M241">
        <f>HYPERLINK("http://sofifa.com/en/fifa13winter/player/149328-kalidou-yero","K. Yero")</f>
        <v>K. Yero</v>
      </c>
      <c s="52" r="N241"/>
    </row>
    <row r="242">
      <c s="52" r="A242"/>
      <c s="52" r="B242"/>
      <c s="52" r="C242"/>
      <c s="52" r="D242"/>
      <c s="52" r="E242"/>
      <c s="52" r="F242"/>
      <c s="52" r="G242"/>
      <c s="52" r="H242"/>
      <c s="52" r="I242"/>
      <c s="52" r="J242"/>
      <c s="52" r="K242"/>
      <c t="str" s="76" r="L242">
        <f>HYPERLINK("http://sofifa.com/en/fifa13winter/player/147905-zlatko-junuzovic","Z. Junuzović")</f>
        <v>Z. Junuzović</v>
      </c>
      <c t="str" s="76" r="M242">
        <f>HYPERLINK("http://sofifa.com/en/fifa13winter/player/146658-hyung-il-kim","Kim Hyung Il")</f>
        <v>Kim Hyung Il</v>
      </c>
      <c s="52" r="N242"/>
    </row>
    <row r="243">
      <c s="52" r="A243"/>
      <c s="52" r="B243"/>
      <c s="52" r="C243"/>
      <c s="52" r="D243"/>
      <c s="52" r="E243"/>
      <c s="52" r="F243"/>
      <c s="52" r="G243"/>
      <c s="52" r="H243"/>
      <c s="52" r="I243"/>
      <c s="52" r="J243"/>
      <c s="52" r="K243"/>
      <c s="52" r="L243"/>
      <c t="str" s="76" r="M243">
        <f>HYPERLINK("http://sofifa.com/en/fifa13winter/player/147740-shin-wook-kim","Kim Shin Wook")</f>
        <v>Kim Shin Wook</v>
      </c>
      <c s="52" r="N243"/>
    </row>
    <row r="244">
      <c s="52" r="A244"/>
      <c s="52" r="B244"/>
      <c s="52" r="C244"/>
      <c s="52" r="D244"/>
      <c s="52" r="E244"/>
      <c s="52" r="F244"/>
      <c s="52" r="G244"/>
      <c s="52" r="H244"/>
      <c s="52" r="I244"/>
      <c s="52" r="J244"/>
      <c s="52" r="K244"/>
      <c s="52" r="L244"/>
      <c t="str" s="76" r="M244">
        <f>HYPERLINK("http://sofifa.com/en/fifa13winter/player/145634-tae-hwi-kwak","Kwak Tae Hwi")</f>
        <v>Kwak Tae Hwi</v>
      </c>
      <c s="52" r="N244"/>
    </row>
    <row r="245">
      <c s="52" r="A245"/>
      <c s="52" r="B245"/>
      <c s="52" r="C245"/>
      <c s="52" r="D245"/>
      <c s="52" r="E245"/>
      <c s="52" r="F245"/>
      <c s="52" r="G245"/>
      <c s="52" r="H245"/>
      <c s="52" r="I245"/>
      <c s="52" r="J245"/>
      <c s="52" r="K245"/>
      <c s="52" r="L245"/>
      <c t="str" s="76" r="M245">
        <f>HYPERLINK("http://sofifa.com/en/fifa13winter/player/146383-lorik-cana","L. Cana")</f>
        <v>L. Cana</v>
      </c>
      <c s="52" r="N245"/>
    </row>
    <row r="246">
      <c s="52" r="A246"/>
      <c s="52" r="B246"/>
      <c s="52" r="C246"/>
      <c s="52" r="D246"/>
      <c s="52" r="E246"/>
      <c s="52" r="F246"/>
      <c s="52" r="G246"/>
      <c s="52" r="H246"/>
      <c s="52" r="I246"/>
      <c s="52" r="J246"/>
      <c s="52" r="K246"/>
      <c s="52" r="L246"/>
      <c t="str" s="76" r="M246">
        <f>HYPERLINK("http://sofifa.com/en/fifa13winter/player/149414-leon-de-kogel","L. de Kogel")</f>
        <v>L. de Kogel</v>
      </c>
      <c s="52" r="N246"/>
    </row>
    <row r="247">
      <c s="52" r="A247"/>
      <c s="52" r="B247"/>
      <c s="52" r="C247"/>
      <c s="52" r="D247"/>
      <c s="52" r="E247"/>
      <c s="52" r="F247"/>
      <c s="52" r="G247"/>
      <c s="52" r="H247"/>
      <c s="52" r="I247"/>
      <c s="52" r="J247"/>
      <c s="52" r="K247"/>
      <c s="52" r="L247"/>
      <c t="str" s="76" r="M247">
        <f>HYPERLINK("http://sofifa.com/en/fifa13winter/player/148676-luke-devere","L. DeVere")</f>
        <v>L. DeVere</v>
      </c>
      <c s="52" r="N247"/>
    </row>
    <row r="248">
      <c s="52" r="A248"/>
      <c s="52" r="B248"/>
      <c s="52" r="C248"/>
      <c s="52" r="D248"/>
      <c s="52" r="E248"/>
      <c s="52" r="F248"/>
      <c s="52" r="G248"/>
      <c s="52" r="H248"/>
      <c s="52" r="I248"/>
      <c s="52" r="J248"/>
      <c s="52" r="K248"/>
      <c s="52" r="L248"/>
      <c t="str" s="76" r="M248">
        <f>HYPERLINK("http://sofifa.com/en/fifa13winter/player/148737-leroy-fer","L. Fer")</f>
        <v>L. Fer</v>
      </c>
      <c s="52" r="N248"/>
    </row>
    <row r="249">
      <c s="52" r="A249"/>
      <c s="52" r="B249"/>
      <c s="52" r="C249"/>
      <c s="52" r="D249"/>
      <c s="52" r="E249"/>
      <c s="52" r="F249"/>
      <c s="52" r="G249"/>
      <c s="52" r="H249"/>
      <c s="52" r="I249"/>
      <c s="52" r="J249"/>
      <c s="52" r="K249"/>
      <c s="52" r="L249"/>
      <c t="str" s="76" r="M249">
        <f>HYPERLINK("http://sofifa.com/en/fifa13winter/player/148399-lamine-kone","L. Koné")</f>
        <v>L. Koné</v>
      </c>
      <c s="52" r="N249"/>
    </row>
    <row r="250">
      <c s="52" r="A250"/>
      <c s="52" r="B250"/>
      <c s="52" r="C250"/>
      <c s="52" r="D250"/>
      <c s="52" r="E250"/>
      <c s="52" r="F250"/>
      <c s="52" r="G250"/>
      <c s="52" r="H250"/>
      <c s="52" r="I250"/>
      <c s="52" r="J250"/>
      <c s="52" r="K250"/>
      <c s="52" r="L250"/>
      <c t="str" s="76" r="M250">
        <f>HYPERLINK("http://sofifa.com/en/fifa13winter/player/148517-libor-kozak","L. Kozák")</f>
        <v>L. Kozák</v>
      </c>
      <c s="52" r="N250"/>
    </row>
    <row r="251">
      <c s="52" r="A251"/>
      <c s="52" r="B251"/>
      <c s="52" r="C251"/>
      <c s="52" r="D251"/>
      <c s="52" r="E251"/>
      <c s="52" r="F251"/>
      <c s="52" r="G251"/>
      <c s="52" r="H251"/>
      <c s="52" r="I251"/>
      <c s="52" r="J251"/>
      <c s="52" r="K251"/>
      <c s="52" r="L251"/>
      <c t="str" s="76" r="M251">
        <f>HYPERLINK("http://sofifa.com/en/fifa13winter/player/147829-leonard-kweuke","L. Kweuke")</f>
        <v>L. Kweuke</v>
      </c>
      <c s="52" r="N251"/>
    </row>
    <row r="252">
      <c s="52" r="A252"/>
      <c s="52" r="B252"/>
      <c s="52" r="C252"/>
      <c s="52" r="D252"/>
      <c s="52" r="E252"/>
      <c s="52" r="F252"/>
      <c s="52" r="G252"/>
      <c s="52" r="H252"/>
      <c s="52" r="I252"/>
      <c s="52" r="J252"/>
      <c s="52" r="K252"/>
      <c s="52" r="L252"/>
      <c t="str" s="76" r="M252">
        <f>HYPERLINK("http://sofifa.com/en/fifa13winter/player/149520-leo-lacroix","L. Lacroix")</f>
        <v>L. Lacroix</v>
      </c>
      <c s="52" r="N252"/>
    </row>
    <row r="253">
      <c s="52" r="A253"/>
      <c s="52" r="B253"/>
      <c s="52" r="C253"/>
      <c s="52" r="D253"/>
      <c s="52" r="E253"/>
      <c s="52" r="F253"/>
      <c s="52" r="G253"/>
      <c s="52" r="H253"/>
      <c s="52" r="I253"/>
      <c s="52" r="J253"/>
      <c s="52" r="K253"/>
      <c s="52" r="L253"/>
      <c t="str" s="76" r="M253">
        <f>HYPERLINK("http://sofifa.com/en/fifa13winter/player/146057-luke-oliver","L. Oliver")</f>
        <v>L. Oliver</v>
      </c>
      <c s="52" r="N253"/>
    </row>
    <row r="254">
      <c s="52" r="A254"/>
      <c s="52" r="B254"/>
      <c s="52" r="C254"/>
      <c s="52" r="D254"/>
      <c s="52" r="E254"/>
      <c s="52" r="F254"/>
      <c s="52" r="G254"/>
      <c s="52" r="H254"/>
      <c s="52" r="I254"/>
      <c s="52" r="J254"/>
      <c s="52" r="K254"/>
      <c s="52" r="L254"/>
      <c t="str" s="76" r="M254">
        <f>HYPERLINK("http://sofifa.com/en/fifa13winter/player/144130-luca-toni","L. Toni")</f>
        <v>L. Toni</v>
      </c>
      <c s="52" r="N254"/>
    </row>
    <row r="255">
      <c s="52" r="A255"/>
      <c s="52" r="B255"/>
      <c s="52" r="C255"/>
      <c s="52" r="D255"/>
      <c s="52" r="E255"/>
      <c s="52" r="F255"/>
      <c s="52" r="G255"/>
      <c s="52" r="H255"/>
      <c s="52" r="I255"/>
      <c s="52" r="J255"/>
      <c s="52" r="K255"/>
      <c s="52" r="L255"/>
      <c t="str" s="76" r="M255">
        <f>HYPERLINK("http://sofifa.com/en/fifa13winter/player/148964-lacina-traore","L. Traoré")</f>
        <v>L. Traoré</v>
      </c>
      <c s="52" r="N255"/>
    </row>
    <row r="256">
      <c s="52" r="A256"/>
      <c s="52" r="B256"/>
      <c s="52" r="C256"/>
      <c s="52" r="D256"/>
      <c s="52" r="E256"/>
      <c s="52" r="F256"/>
      <c s="52" r="G256"/>
      <c s="52" r="H256"/>
      <c s="52" r="I256"/>
      <c s="52" r="J256"/>
      <c s="52" r="K256"/>
      <c s="52" r="L256"/>
      <c t="str" s="76" r="M256">
        <f>HYPERLINK("http://sofifa.com/en/fifa13winter/player/145675-leandro-da-fonseca-euzebio","Leandro Euzébio")</f>
        <v>Leandro Euzébio</v>
      </c>
      <c s="52" r="N256"/>
    </row>
    <row r="257">
      <c s="52" r="A257"/>
      <c s="52" r="B257"/>
      <c s="52" r="C257"/>
      <c s="52" r="D257"/>
      <c s="52" r="E257"/>
      <c s="52" r="F257"/>
      <c s="52" r="G257"/>
      <c s="52" r="H257"/>
      <c s="52" r="I257"/>
      <c s="52" r="J257"/>
      <c s="52" r="K257"/>
      <c s="52" r="L257"/>
      <c t="str" s="76" r="M257">
        <f>HYPERLINK("http://sofifa.com/en/fifa13winter/player/149054-ha-ram-lim","Lim Ha Ram")</f>
        <v>Lim Ha Ram</v>
      </c>
      <c s="52" r="N257"/>
    </row>
    <row r="258">
      <c s="52" r="A258"/>
      <c s="52" r="B258"/>
      <c s="52" r="C258"/>
      <c s="52" r="D258"/>
      <c s="52" r="E258"/>
      <c s="52" r="F258"/>
      <c s="52" r="G258"/>
      <c s="52" r="H258"/>
      <c s="52" r="I258"/>
      <c s="52" r="J258"/>
      <c s="52" r="K258"/>
      <c s="52" r="L258"/>
      <c t="str" s="76" r="M258">
        <f>HYPERLINK("http://sofifa.com/en/fifa13winter/player/149372-luccas-claro-dos-santos","Luccas Claro")</f>
        <v>Luccas Claro</v>
      </c>
      <c s="52" r="N258"/>
    </row>
    <row r="259">
      <c s="52" r="A259"/>
      <c s="52" r="B259"/>
      <c s="52" r="C259"/>
      <c s="52" r="D259"/>
      <c s="52" r="E259"/>
      <c s="52" r="F259"/>
      <c s="52" r="G259"/>
      <c s="52" r="H259"/>
      <c s="52" r="I259"/>
      <c s="52" r="J259"/>
      <c s="52" r="K259"/>
      <c s="52" r="L259"/>
      <c t="str" s="76" r="M259">
        <f>HYPERLINK("http://sofifa.com/en/fifa13winter/player/144928-manuel-arboleda","M. Arboleda")</f>
        <v>M. Arboleda</v>
      </c>
      <c s="52" r="N259"/>
    </row>
    <row r="260">
      <c s="52" r="A260"/>
      <c s="52" r="B260"/>
      <c s="52" r="C260"/>
      <c s="52" r="D260"/>
      <c s="52" r="E260"/>
      <c s="52" r="F260"/>
      <c s="52" r="G260"/>
      <c s="52" r="H260"/>
      <c s="52" r="I260"/>
      <c s="52" r="J260"/>
      <c s="52" r="K260"/>
      <c s="52" r="L260"/>
      <c t="str" s="76" r="M260">
        <f>HYPERLINK("http://sofifa.com/en/fifa13winter/player/145512-michael-beauchamp","M. Beauchamp")</f>
        <v>M. Beauchamp</v>
      </c>
      <c s="52" r="N260"/>
    </row>
    <row r="261">
      <c s="52" r="A261"/>
      <c s="52" r="B261"/>
      <c s="52" r="C261"/>
      <c s="52" r="D261"/>
      <c s="52" r="E261"/>
      <c s="52" r="F261"/>
      <c s="52" r="G261"/>
      <c s="52" r="H261"/>
      <c s="52" r="I261"/>
      <c s="52" r="J261"/>
      <c s="52" r="K261"/>
      <c s="52" r="L261"/>
      <c t="str" s="76" r="M261">
        <f>HYPERLINK("http://sofifa.com/en/fifa13winter/player/145654-mathieu-beda","M. Béda")</f>
        <v>M. Béda</v>
      </c>
      <c s="52" r="N261"/>
    </row>
    <row r="262">
      <c s="52" r="A262"/>
      <c s="52" r="B262"/>
      <c s="52" r="C262"/>
      <c s="52" r="D262"/>
      <c s="52" r="E262"/>
      <c s="52" r="F262"/>
      <c s="52" r="G262"/>
      <c s="52" r="H262"/>
      <c s="52" r="I262"/>
      <c s="52" r="J262"/>
      <c s="52" r="K262"/>
      <c s="52" r="L262"/>
      <c t="str" s="76" r="M262">
        <f>HYPERLINK("http://sofifa.com/en/fifa13winter/player/143695-marino-biliskov","M. Biliškov")</f>
        <v>M. Biliškov</v>
      </c>
      <c s="52" r="N262"/>
    </row>
    <row r="263">
      <c s="52" r="A263"/>
      <c s="52" r="B263"/>
      <c s="52" r="C263"/>
      <c s="52" r="D263"/>
      <c s="52" r="E263"/>
      <c s="52" r="F263"/>
      <c s="52" r="G263"/>
      <c s="52" r="H263"/>
      <c s="52" r="I263"/>
      <c s="52" r="J263"/>
      <c s="52" r="K263"/>
      <c s="52" r="L263"/>
      <c t="str" s="76" r="M263">
        <f>HYPERLINK("http://sofifa.com/en/fifa13winter/player/147356-maxime-biset","M. Biset")</f>
        <v>M. Biset</v>
      </c>
      <c s="52" r="N263"/>
    </row>
    <row r="264">
      <c s="52" r="A264"/>
      <c s="52" r="B264"/>
      <c s="52" r="C264"/>
      <c s="52" r="D264"/>
      <c s="52" r="E264"/>
      <c s="52" r="F264"/>
      <c s="52" r="G264"/>
      <c s="52" r="H264"/>
      <c s="52" r="I264"/>
      <c s="52" r="J264"/>
      <c s="52" r="K264"/>
      <c s="52" r="L264"/>
      <c t="str" s="76" r="M264">
        <f>HYPERLINK("http://sofifa.com/en/fifa13winter/player/146136-mathieu-bodmer","M. Bodmer")</f>
        <v>M. Bodmer</v>
      </c>
      <c s="52" r="N264"/>
    </row>
    <row r="265">
      <c s="52" r="A265"/>
      <c s="52" r="B265"/>
      <c s="52" r="C265"/>
      <c s="52" r="D265"/>
      <c s="52" r="E265"/>
      <c s="52" r="F265"/>
      <c s="52" r="G265"/>
      <c s="52" r="H265"/>
      <c s="52" r="I265"/>
      <c s="52" r="J265"/>
      <c s="52" r="K265"/>
      <c s="52" r="L265"/>
      <c t="str" s="76" r="M265">
        <f>HYPERLINK("http://sofifa.com/en/fifa13winter/player/147792-martino-borghese","M. Borghese")</f>
        <v>M. Borghese</v>
      </c>
      <c s="52" r="N265"/>
    </row>
    <row r="266">
      <c s="52" r="A266"/>
      <c s="52" r="B266"/>
      <c s="52" r="C266"/>
      <c s="52" r="D266"/>
      <c s="52" r="E266"/>
      <c s="52" r="F266"/>
      <c s="52" r="G266"/>
      <c s="52" r="H266"/>
      <c s="52" r="I266"/>
      <c s="52" r="J266"/>
      <c s="52" r="K266"/>
      <c s="52" r="L266"/>
      <c t="str" s="76" r="M266">
        <f>HYPERLINK("http://sofifa.com/en/fifa13winter/player/146686-markus-brzenska","M. Brzenska")</f>
        <v>M. Brzenska</v>
      </c>
      <c s="52" r="N266"/>
    </row>
    <row r="267">
      <c s="52" r="A267"/>
      <c s="52" r="B267"/>
      <c s="52" r="C267"/>
      <c s="52" r="D267"/>
      <c s="52" r="E267"/>
      <c s="52" r="F267"/>
      <c s="52" r="G267"/>
      <c s="52" r="H267"/>
      <c s="52" r="I267"/>
      <c s="52" r="J267"/>
      <c s="52" r="K267"/>
      <c s="52" r="L267"/>
      <c t="str" s="76" r="M267">
        <f>HYPERLINK("http://sofifa.com/en/fifa13winter/player/145400-moris-carrozzieri","M. Carrozzieri")</f>
        <v>M. Carrozzieri</v>
      </c>
      <c s="52" r="N267"/>
    </row>
    <row r="268">
      <c s="52" r="A268"/>
      <c s="52" r="B268"/>
      <c s="52" r="C268"/>
      <c s="52" r="D268"/>
      <c s="52" r="E268"/>
      <c s="52" r="F268"/>
      <c s="52" r="G268"/>
      <c s="52" r="H268"/>
      <c s="52" r="I268"/>
      <c s="52" r="J268"/>
      <c s="52" r="K268"/>
      <c s="52" r="L268"/>
      <c t="str" s="76" r="M268">
        <f>HYPERLINK("http://sofifa.com/en/fifa13winter/player/146637-michael-ciani","M. Ciani")</f>
        <v>M. Ciani</v>
      </c>
      <c s="52" r="N268"/>
    </row>
    <row r="269">
      <c s="52" r="A269"/>
      <c s="52" r="B269"/>
      <c s="52" r="C269"/>
      <c s="52" r="D269"/>
      <c s="52" r="E269"/>
      <c s="52" r="F269"/>
      <c s="52" r="G269"/>
      <c s="52" r="H269"/>
      <c s="52" r="I269"/>
      <c s="52" r="J269"/>
      <c s="52" r="K269"/>
      <c s="52" r="L269"/>
      <c t="str" s="76" r="M269">
        <f>HYPERLINK("http://sofifa.com/en/fifa13winter/player/147746-maciej-dabrowski","M. Dąbrowski")</f>
        <v>M. Dąbrowski</v>
      </c>
      <c s="52" r="N269"/>
    </row>
    <row r="270">
      <c s="52" r="A270"/>
      <c s="52" r="B270"/>
      <c s="52" r="C270"/>
      <c s="52" r="D270"/>
      <c s="52" r="E270"/>
      <c s="52" r="F270"/>
      <c s="52" r="G270"/>
      <c s="52" r="H270"/>
      <c s="52" r="I270"/>
      <c s="52" r="J270"/>
      <c s="52" r="K270"/>
      <c s="52" r="L270"/>
      <c t="str" s="76" r="M270">
        <f>HYPERLINK("http://sofifa.com/en/fifa13winter/player/146971-mikael-dahlberg","M. Dahlberg")</f>
        <v>M. Dahlberg</v>
      </c>
      <c s="52" r="N270"/>
    </row>
    <row r="271">
      <c s="52" r="A271"/>
      <c s="52" r="B271"/>
      <c s="52" r="C271"/>
      <c s="52" r="D271"/>
      <c s="52" r="E271"/>
      <c s="52" r="F271"/>
      <c s="52" r="G271"/>
      <c s="52" r="H271"/>
      <c s="52" r="I271"/>
      <c s="52" r="J271"/>
      <c s="52" r="K271"/>
      <c s="52" r="L271"/>
      <c t="str" s="76" r="M271">
        <f>HYPERLINK("http://sofifa.com/en/fifa13winter/player/146292-mamadou-danso","M. Danso")</f>
        <v>M. Danso</v>
      </c>
      <c s="52" r="N271"/>
    </row>
    <row r="272">
      <c s="52" r="A272"/>
      <c s="52" r="B272"/>
      <c s="52" r="C272"/>
      <c s="52" r="D272"/>
      <c s="52" r="E272"/>
      <c s="52" r="F272"/>
      <c s="52" r="G272"/>
      <c s="52" r="H272"/>
      <c s="52" r="I272"/>
      <c s="52" r="J272"/>
      <c s="52" r="K272"/>
      <c s="52" r="L272"/>
      <c t="str" s="76" r="M272">
        <f>HYPERLINK("http://sofifa.com/en/fifa13winter/player/147833-moussa-dembele","M. Dembélé")</f>
        <v>M. Dembélé</v>
      </c>
      <c s="52" r="N272"/>
    </row>
    <row r="273">
      <c s="52" r="A273"/>
      <c s="52" r="B273"/>
      <c s="52" r="C273"/>
      <c s="52" r="D273"/>
      <c s="52" r="E273"/>
      <c s="52" r="F273"/>
      <c s="52" r="G273"/>
      <c s="52" r="H273"/>
      <c s="52" r="I273"/>
      <c s="52" r="J273"/>
      <c s="52" r="K273"/>
      <c s="52" r="L273"/>
      <c t="str" s="76" r="M273">
        <f>HYPERLINK("http://sofifa.com/en/fifa13winter/player/147697-mobido-diakite","M. Diakité")</f>
        <v>M. Diakité</v>
      </c>
      <c s="52" r="N273"/>
    </row>
    <row r="274">
      <c s="52" r="A274"/>
      <c s="52" r="B274"/>
      <c s="52" r="C274"/>
      <c s="52" r="D274"/>
      <c s="52" r="E274"/>
      <c s="52" r="F274"/>
      <c s="52" r="G274"/>
      <c s="52" r="H274"/>
      <c s="52" r="I274"/>
      <c s="52" r="J274"/>
      <c s="52" r="K274"/>
      <c s="52" r="L274"/>
      <c t="str" s="76" r="M274">
        <f>HYPERLINK("http://sofifa.com/en/fifa13winter/player/148747-markus-egger","M. Egger")</f>
        <v>M. Egger</v>
      </c>
      <c s="52" r="N274"/>
    </row>
    <row r="275">
      <c s="52" r="A275"/>
      <c s="52" r="B275"/>
      <c s="52" r="C275"/>
      <c s="52" r="D275"/>
      <c s="52" r="E275"/>
      <c s="52" r="F275"/>
      <c s="52" r="G275"/>
      <c s="52" r="H275"/>
      <c s="52" r="I275"/>
      <c s="52" r="J275"/>
      <c s="52" r="K275"/>
      <c s="52" r="L275"/>
      <c t="str" s="76" r="M275">
        <f>HYPERLINK("http://sofifa.com/en/fifa13winter/player/147962-marouane-fellaini","M. Fellaini")</f>
        <v>M. Fellaini</v>
      </c>
      <c s="52" r="N275"/>
    </row>
    <row r="276">
      <c s="52" r="A276"/>
      <c s="52" r="B276"/>
      <c s="52" r="C276"/>
      <c s="52" r="D276"/>
      <c s="52" r="E276"/>
      <c s="52" r="F276"/>
      <c s="52" r="G276"/>
      <c s="52" r="H276"/>
      <c s="52" r="I276"/>
      <c s="52" r="J276"/>
      <c s="52" r="K276"/>
      <c s="52" r="L276"/>
      <c t="str" s="76" r="M276">
        <f>HYPERLINK("http://sofifa.com/en/fifa13winter/player/145662-maik-franz","M. Franz")</f>
        <v>M. Franz</v>
      </c>
      <c s="52" r="N276"/>
    </row>
    <row r="277">
      <c s="52" r="A277"/>
      <c s="52" r="B277"/>
      <c s="52" r="C277"/>
      <c s="52" r="D277"/>
      <c s="52" r="E277"/>
      <c s="52" r="F277"/>
      <c s="52" r="G277"/>
      <c s="52" r="H277"/>
      <c s="52" r="I277"/>
      <c s="52" r="J277"/>
      <c s="52" r="K277"/>
      <c s="52" r="L277"/>
      <c t="str" s="76" r="M277">
        <f>HYPERLINK("http://sofifa.com/en/fifa13winter/player/148785-marko-futacs","M. Futács")</f>
        <v>M. Futács</v>
      </c>
      <c s="52" r="N277"/>
    </row>
    <row r="278">
      <c s="52" r="A278"/>
      <c s="52" r="B278"/>
      <c s="52" r="C278"/>
      <c s="52" r="D278"/>
      <c s="52" r="E278"/>
      <c s="52" r="F278"/>
      <c s="52" r="G278"/>
      <c s="52" r="H278"/>
      <c s="52" r="I278"/>
      <c s="52" r="J278"/>
      <c s="52" r="K278"/>
      <c s="52" r="L278"/>
      <c t="str" s="76" r="M278">
        <f>HYPERLINK("http://sofifa.com/en/fifa13winter/player/147097-mario-gomez","M. Gomez")</f>
        <v>M. Gomez</v>
      </c>
      <c s="52" r="N278"/>
    </row>
    <row r="279">
      <c s="52" r="A279"/>
      <c s="52" r="B279"/>
      <c s="52" r="C279"/>
      <c s="52" r="D279"/>
      <c s="52" r="E279"/>
      <c s="52" r="F279"/>
      <c s="52" r="G279"/>
      <c s="52" r="H279"/>
      <c s="52" r="I279"/>
      <c s="52" r="J279"/>
      <c s="52" r="K279"/>
      <c s="52" r="L279"/>
      <c t="str" s="76" r="M279">
        <f>HYPERLINK("http://sofifa.com/en/fifa13winter/player/145240-marcos-gonzalez","M. González")</f>
        <v>M. González</v>
      </c>
      <c s="52" r="N279"/>
    </row>
    <row r="280">
      <c s="52" r="A280"/>
      <c s="52" r="B280"/>
      <c s="52" r="C280"/>
      <c s="52" r="D280"/>
      <c s="52" r="E280"/>
      <c s="52" r="F280"/>
      <c s="52" r="G280"/>
      <c s="52" r="H280"/>
      <c s="52" r="I280"/>
      <c s="52" r="J280"/>
      <c s="52" r="K280"/>
      <c s="52" r="L280"/>
      <c t="str" s="76" r="M280">
        <f>HYPERLINK("http://sofifa.com/en/fifa13winter/player/145605-marco-gorzegno","M. Gorzegno")</f>
        <v>M. Gorzegno</v>
      </c>
      <c s="52" r="N280"/>
    </row>
    <row r="281">
      <c s="52" r="A281"/>
      <c s="52" r="B281"/>
      <c s="52" r="C281"/>
      <c s="52" r="D281"/>
      <c s="52" r="E281"/>
      <c s="52" r="F281"/>
      <c s="52" r="G281"/>
      <c s="52" r="H281"/>
      <c s="52" r="I281"/>
      <c s="52" r="J281"/>
      <c s="52" r="K281"/>
      <c s="52" r="L281"/>
      <c t="str" s="76" r="M281">
        <f>HYPERLINK("http://sofifa.com/en/fifa13winter/player/147378-marc-hensel","M. Hensel")</f>
        <v>M. Hensel</v>
      </c>
      <c s="52" r="N281"/>
    </row>
    <row r="282">
      <c s="52" r="A282"/>
      <c s="52" r="B282"/>
      <c s="52" r="C282"/>
      <c s="52" r="D282"/>
      <c s="52" r="E282"/>
      <c s="52" r="F282"/>
      <c s="52" r="G282"/>
      <c s="52" r="H282"/>
      <c s="52" r="I282"/>
      <c s="52" r="J282"/>
      <c s="52" r="K282"/>
      <c s="52" r="L282"/>
      <c t="str" s="76" r="M282">
        <f>HYPERLINK("http://sofifa.com/en/fifa13winter/player/146420-michael-higdon","M. Higdon")</f>
        <v>M. Higdon</v>
      </c>
      <c s="52" r="N282"/>
    </row>
    <row r="283">
      <c s="52" r="A283"/>
      <c s="52" r="B283"/>
      <c s="52" r="C283"/>
      <c s="52" r="D283"/>
      <c s="52" r="E283"/>
      <c s="52" r="F283"/>
      <c s="52" r="G283"/>
      <c s="52" r="H283"/>
      <c s="52" r="I283"/>
      <c s="52" r="J283"/>
      <c s="52" r="K283"/>
      <c s="52" r="L283"/>
      <c t="str" s="76" r="M283">
        <f>HYPERLINK("http://sofifa.com/en/fifa13winter/player/147751-marcel-hottecke","M. Höttecke")</f>
        <v>M. Höttecke</v>
      </c>
      <c s="52" r="N283"/>
    </row>
    <row r="284">
      <c s="52" r="A284"/>
      <c s="52" r="B284"/>
      <c s="52" r="C284"/>
      <c s="52" r="D284"/>
      <c s="52" r="E284"/>
      <c s="52" r="F284"/>
      <c s="52" r="G284"/>
      <c s="52" r="H284"/>
      <c s="52" r="I284"/>
      <c s="52" r="J284"/>
      <c s="52" r="K284"/>
      <c s="52" r="L284"/>
      <c t="str" s="76" r="M284">
        <f>HYPERLINK("http://sofifa.com/en/fifa13winter/player/146351-marc-janko","M. Janko")</f>
        <v>M. Janko</v>
      </c>
      <c s="52" r="N284"/>
    </row>
    <row r="285">
      <c s="52" r="A285"/>
      <c s="52" r="B285"/>
      <c s="52" r="C285"/>
      <c s="52" r="D285"/>
      <c s="52" r="E285"/>
      <c s="52" r="F285"/>
      <c s="52" r="G285"/>
      <c s="52" r="H285"/>
      <c s="52" r="I285"/>
      <c s="52" r="J285"/>
      <c s="52" r="K285"/>
      <c s="52" r="L285"/>
      <c t="str" s="76" r="M285">
        <f>HYPERLINK("http://sofifa.com/en/fifa13winter/player/147292-mohammed-ali-khan","M. Khan")</f>
        <v>M. Khan</v>
      </c>
      <c s="52" r="N285"/>
    </row>
    <row r="286">
      <c s="52" r="A286"/>
      <c s="52" r="B286"/>
      <c s="52" r="C286"/>
      <c s="52" r="D286"/>
      <c s="52" r="E286"/>
      <c s="52" r="F286"/>
      <c s="52" r="G286"/>
      <c s="52" r="H286"/>
      <c s="52" r="I286"/>
      <c s="52" r="J286"/>
      <c s="52" r="K286"/>
      <c s="52" r="L286"/>
      <c t="str" s="76" r="M286">
        <f>HYPERLINK("http://sofifa.com/en/fifa13winter/player/148495-marco-kofler","M. Kofler")</f>
        <v>M. Kofler</v>
      </c>
      <c s="52" r="N286"/>
    </row>
    <row r="287">
      <c s="52" r="A287"/>
      <c s="52" r="B287"/>
      <c s="52" r="C287"/>
      <c s="52" r="D287"/>
      <c s="52" r="E287"/>
      <c s="52" r="F287"/>
      <c s="52" r="G287"/>
      <c s="52" r="H287"/>
      <c s="52" r="I287"/>
      <c s="52" r="J287"/>
      <c s="52" r="K287"/>
      <c s="52" r="L287"/>
      <c t="str" s="76" r="M287">
        <f>HYPERLINK("http://sofifa.com/en/fifa13winter/player/146812-martin-latka","M. Latka")</f>
        <v>M. Latka</v>
      </c>
      <c s="52" r="N287"/>
    </row>
    <row r="288">
      <c s="52" r="A288"/>
      <c s="52" r="B288"/>
      <c s="52" r="C288"/>
      <c s="52" r="D288"/>
      <c s="52" r="E288"/>
      <c s="52" r="F288"/>
      <c s="52" r="G288"/>
      <c s="52" r="H288"/>
      <c s="52" r="I288"/>
      <c s="52" r="J288"/>
      <c s="52" r="K288"/>
      <c s="52" r="L288"/>
      <c t="str" s="76" r="M288">
        <f>HYPERLINK("http://sofifa.com/en/fifa13winter/player/147730-mcdonald-mariga","M. Mariga")</f>
        <v>M. Mariga</v>
      </c>
      <c s="52" r="N288"/>
    </row>
    <row r="289">
      <c s="52" r="A289"/>
      <c s="52" r="B289"/>
      <c s="52" r="C289"/>
      <c s="52" r="D289"/>
      <c s="52" r="E289"/>
      <c s="52" r="F289"/>
      <c s="52" r="G289"/>
      <c s="52" r="H289"/>
      <c s="52" r="I289"/>
      <c s="52" r="J289"/>
      <c s="52" r="K289"/>
      <c s="52" r="L289"/>
      <c t="str" s="76" r="M289">
        <f>HYPERLINK("http://sofifa.com/en/fifa13winter/player/146559-miguel-angel-martinez","M. Martínez")</f>
        <v>M. Martínez</v>
      </c>
      <c s="52" r="N289"/>
    </row>
    <row r="290">
      <c s="52" r="A290"/>
      <c s="52" r="B290"/>
      <c s="52" r="C290"/>
      <c s="52" r="D290"/>
      <c s="52" r="E290"/>
      <c s="52" r="F290"/>
      <c s="52" r="G290"/>
      <c s="52" r="H290"/>
      <c s="52" r="I290"/>
      <c s="52" r="J290"/>
      <c s="52" r="K290"/>
      <c s="52" r="L290"/>
      <c t="str" s="76" r="M290">
        <f>HYPERLINK("http://sofifa.com/en/fifa13winter/player/145949-malte-metzelder","M. Metzelder")</f>
        <v>M. Metzelder</v>
      </c>
      <c s="52" r="N290"/>
    </row>
    <row r="291">
      <c s="52" r="A291"/>
      <c s="52" r="B291"/>
      <c s="52" r="C291"/>
      <c s="52" r="D291"/>
      <c s="52" r="E291"/>
      <c s="52" r="F291"/>
      <c s="52" r="G291"/>
      <c s="52" r="H291"/>
      <c s="52" r="I291"/>
      <c s="52" r="J291"/>
      <c s="52" r="K291"/>
      <c s="52" r="L291"/>
      <c t="str" s="76" r="M291">
        <f>HYPERLINK("http://sofifa.com/en/fifa13winter/player/144220-mattias-ostberg","M. Östberg")</f>
        <v>M. Östberg</v>
      </c>
      <c s="52" r="N291"/>
    </row>
    <row r="292">
      <c s="52" r="A292"/>
      <c s="52" r="B292"/>
      <c s="52" r="C292"/>
      <c s="52" r="D292"/>
      <c s="52" r="E292"/>
      <c s="52" r="F292"/>
      <c s="52" r="G292"/>
      <c s="52" r="H292"/>
      <c s="52" r="I292"/>
      <c s="52" r="J292"/>
      <c s="52" r="K292"/>
      <c s="52" r="L292"/>
      <c t="str" s="76" r="M292">
        <f>HYPERLINK("http://sofifa.com/en/fifa13winter/player/144478-massimo-paci","M. Paci")</f>
        <v>M. Paci</v>
      </c>
      <c s="52" r="N292"/>
    </row>
    <row r="293">
      <c s="52" r="A293"/>
      <c s="52" r="B293"/>
      <c s="52" r="C293"/>
      <c s="52" r="D293"/>
      <c s="52" r="E293"/>
      <c s="52" r="F293"/>
      <c s="52" r="G293"/>
      <c s="52" r="H293"/>
      <c s="52" r="I293"/>
      <c s="52" r="J293"/>
      <c s="52" r="K293"/>
      <c s="52" r="L293"/>
      <c t="str" s="76" r="M293">
        <f>HYPERLINK("http://sofifa.com/en/fifa13winter/player/145510-marco-antonio-palacios","M. Palacios")</f>
        <v>M. Palacios</v>
      </c>
      <c s="52" r="N293"/>
    </row>
    <row r="294">
      <c s="52" r="A294"/>
      <c s="52" r="B294"/>
      <c s="52" r="C294"/>
      <c s="52" r="D294"/>
      <c s="52" r="E294"/>
      <c s="52" r="F294"/>
      <c s="52" r="G294"/>
      <c s="52" r="H294"/>
      <c s="52" r="I294"/>
      <c s="52" r="J294"/>
      <c s="52" r="K294"/>
      <c s="52" r="L294"/>
      <c t="str" s="76" r="M294">
        <f>HYPERLINK("http://sofifa.com/en/fifa13winter/player/145697-manuel-pascali","M. Pascali")</f>
        <v>M. Pascali</v>
      </c>
      <c s="52" r="N294"/>
    </row>
    <row r="295">
      <c s="52" r="A295"/>
      <c s="52" r="B295"/>
      <c s="52" r="C295"/>
      <c s="52" r="D295"/>
      <c s="52" r="E295"/>
      <c s="52" r="F295"/>
      <c s="52" r="G295"/>
      <c s="52" r="H295"/>
      <c s="52" r="I295"/>
      <c s="52" r="J295"/>
      <c s="52" r="K295"/>
      <c s="52" r="L295"/>
      <c t="str" s="76" r="M295">
        <f>HYPERLINK("http://sofifa.com/en/fifa13winter/player/144397-maurizio-peccarisi","M. Peccarisi")</f>
        <v>M. Peccarisi</v>
      </c>
      <c s="52" r="N295"/>
    </row>
    <row r="296">
      <c s="52" r="A296"/>
      <c s="52" r="B296"/>
      <c s="52" r="C296"/>
      <c s="52" r="D296"/>
      <c s="52" r="E296"/>
      <c s="52" r="F296"/>
      <c s="52" r="G296"/>
      <c s="52" r="H296"/>
      <c s="52" r="I296"/>
      <c s="52" r="J296"/>
      <c s="52" r="K296"/>
      <c s="52" r="L296"/>
      <c t="str" s="76" r="M296">
        <f>HYPERLINK("http://sofifa.com/en/fifa13winter/player/144201-milorad-pekovic","M. Peković")</f>
        <v>M. Peković</v>
      </c>
      <c s="52" r="N296"/>
    </row>
    <row r="297">
      <c s="52" r="A297"/>
      <c s="52" r="B297"/>
      <c s="52" r="C297"/>
      <c s="52" r="D297"/>
      <c s="52" r="E297"/>
      <c s="52" r="F297"/>
      <c s="52" r="G297"/>
      <c s="52" r="H297"/>
      <c s="52" r="I297"/>
      <c s="52" r="J297"/>
      <c s="52" r="K297"/>
      <c s="52" r="L297"/>
      <c t="str" s="76" r="M297">
        <f>HYPERLINK("http://sofifa.com/en/fifa13winter/player/147276-milan-perendija","M. Perendija")</f>
        <v>M. Perendija</v>
      </c>
      <c s="52" r="N297"/>
    </row>
    <row r="298">
      <c s="52" r="A298"/>
      <c s="52" r="B298"/>
      <c s="52" r="C298"/>
      <c s="52" r="D298"/>
      <c s="52" r="E298"/>
      <c s="52" r="F298"/>
      <c s="52" r="G298"/>
      <c s="52" r="H298"/>
      <c s="52" r="I298"/>
      <c s="52" r="J298"/>
      <c s="52" r="K298"/>
      <c s="52" r="L298"/>
      <c t="str" s="76" r="M298">
        <f>HYPERLINK("http://sofifa.com/en/fifa13winter/player/148963-mathias-pogba","M. Pogba")</f>
        <v>M. Pogba</v>
      </c>
      <c s="52" r="N298"/>
    </row>
    <row r="299">
      <c s="52" r="A299"/>
      <c s="52" r="B299"/>
      <c s="52" r="C299"/>
      <c s="52" r="D299"/>
      <c s="52" r="E299"/>
      <c s="52" r="F299"/>
      <c s="52" r="G299"/>
      <c s="52" r="H299"/>
      <c s="52" r="I299"/>
      <c s="52" r="J299"/>
      <c s="52" r="K299"/>
      <c s="52" r="L299"/>
      <c t="str" s="76" r="M299">
        <f>HYPERLINK("http://sofifa.com/en/fifa13winter/player/148708-mauro-quiroga","M. Quiroga")</f>
        <v>M. Quiroga</v>
      </c>
      <c s="52" r="N299"/>
    </row>
    <row r="300">
      <c s="52" r="A300"/>
      <c s="52" r="B300"/>
      <c s="52" r="C300"/>
      <c s="52" r="D300"/>
      <c s="52" r="E300"/>
      <c s="52" r="F300"/>
      <c s="52" r="G300"/>
      <c s="52" r="H300"/>
      <c s="52" r="I300"/>
      <c s="52" r="J300"/>
      <c s="52" r="K300"/>
      <c s="52" r="L300"/>
      <c t="str" s="76" r="M300">
        <f>HYPERLINK("http://sofifa.com/en/fifa13winter/player/146706-mathias-ranegie","M. Ranégie")</f>
        <v>M. Ranégie</v>
      </c>
      <c s="52" r="N300"/>
    </row>
    <row r="301">
      <c s="52" r="A301"/>
      <c s="52" r="B301"/>
      <c s="52" r="C301"/>
      <c s="52" r="D301"/>
      <c s="52" r="E301"/>
      <c s="52" r="F301"/>
      <c s="52" r="G301"/>
      <c s="52" r="H301"/>
      <c s="52" r="I301"/>
      <c s="52" r="J301"/>
      <c s="52" r="K301"/>
      <c s="52" r="L301"/>
      <c t="str" s="76" r="M301">
        <f>HYPERLINK("http://sofifa.com/en/fifa13winter/player/148177-micah-richards","M. Richards")</f>
        <v>M. Richards</v>
      </c>
      <c s="52" r="N301"/>
    </row>
    <row r="302">
      <c s="52" r="A302"/>
      <c s="52" r="B302"/>
      <c s="52" r="C302"/>
      <c s="52" r="D302"/>
      <c s="52" r="E302"/>
      <c s="52" r="F302"/>
      <c s="52" r="G302"/>
      <c s="52" r="H302"/>
      <c s="52" r="I302"/>
      <c s="52" r="J302"/>
      <c s="52" r="K302"/>
      <c s="52" r="L302"/>
      <c t="str" s="76" r="M302">
        <f>HYPERLINK("http://sofifa.com/en/fifa13winter/player/147240-moustapha-sall","M. Sall")</f>
        <v>M. Sall</v>
      </c>
      <c s="52" r="N302"/>
    </row>
    <row r="303">
      <c s="52" r="A303"/>
      <c s="52" r="B303"/>
      <c s="52" r="C303"/>
      <c s="52" r="D303"/>
      <c s="52" r="E303"/>
      <c s="52" r="F303"/>
      <c s="52" r="G303"/>
      <c s="52" r="H303"/>
      <c s="52" r="I303"/>
      <c s="52" r="J303"/>
      <c s="52" r="K303"/>
      <c s="52" r="L303"/>
      <c t="str" s="76" r="M303">
        <f>HYPERLINK("http://sofifa.com/en/fifa13winter/player/148139-markus-scholz","M. Scholz")</f>
        <v>M. Scholz</v>
      </c>
      <c s="52" r="N303"/>
    </row>
    <row r="304">
      <c s="52" r="A304"/>
      <c s="52" r="B304"/>
      <c s="52" r="C304"/>
      <c s="52" r="D304"/>
      <c s="52" r="E304"/>
      <c s="52" r="F304"/>
      <c s="52" r="G304"/>
      <c s="52" r="H304"/>
      <c s="52" r="I304"/>
      <c s="52" r="J304"/>
      <c s="52" r="K304"/>
      <c s="52" r="L304"/>
      <c t="str" s="76" r="M304">
        <f>HYPERLINK("http://sofifa.com/en/fifa13winter/player/148595-moussa-sissoko","M. Sissoko")</f>
        <v>M. Sissoko</v>
      </c>
      <c s="52" r="N304"/>
    </row>
    <row r="305">
      <c s="52" r="A305"/>
      <c s="52" r="B305"/>
      <c s="52" r="C305"/>
      <c s="52" r="D305"/>
      <c s="52" r="E305"/>
      <c s="52" r="F305"/>
      <c s="52" r="G305"/>
      <c s="52" r="H305"/>
      <c s="52" r="I305"/>
      <c s="52" r="J305"/>
      <c s="52" r="K305"/>
      <c s="52" r="L305"/>
      <c t="s" s="76" r="M305">
        <v>346</v>
      </c>
      <c s="52" r="N305"/>
    </row>
    <row r="306">
      <c s="52" r="A306"/>
      <c s="52" r="B306"/>
      <c s="52" r="C306"/>
      <c s="52" r="D306"/>
      <c s="52" r="E306"/>
      <c s="52" r="F306"/>
      <c s="52" r="G306"/>
      <c s="52" r="H306"/>
      <c s="52" r="I306"/>
      <c s="52" r="J306"/>
      <c s="52" r="K306"/>
      <c s="52" r="L306"/>
      <c t="str" s="76" r="M306">
        <f>HYPERLINK("http://sofifa.com/en/fifa13winter/player/145641-marius-stankevicius","M. Stankevicius")</f>
        <v>M. Stankevicius</v>
      </c>
      <c s="52" r="N306"/>
    </row>
    <row r="307">
      <c s="52" r="A307"/>
      <c s="52" r="B307"/>
      <c s="52" r="C307"/>
      <c s="52" r="D307"/>
      <c s="52" r="E307"/>
      <c s="52" r="F307"/>
      <c s="52" r="G307"/>
      <c s="52" r="H307"/>
      <c s="52" r="I307"/>
      <c s="52" r="J307"/>
      <c s="52" r="K307"/>
      <c s="52" r="L307"/>
      <c t="str" s="76" r="M307">
        <f>HYPERLINK("http://sofifa.com/en/fifa13winter/player/144863-martin-stocklasa","M. Stocklasa")</f>
        <v>M. Stocklasa</v>
      </c>
      <c s="52" r="N307"/>
    </row>
    <row r="308">
      <c s="52" r="A308"/>
      <c s="52" r="B308"/>
      <c s="52" r="C308"/>
      <c s="52" r="D308"/>
      <c s="52" r="E308"/>
      <c s="52" r="F308"/>
      <c s="52" r="G308"/>
      <c s="52" r="H308"/>
      <c s="52" r="I308"/>
      <c s="52" r="J308"/>
      <c s="52" r="K308"/>
      <c s="52" r="L308"/>
      <c t="str" s="76" r="M308">
        <f>HYPERLINK("http://sofifa.com/en/fifa13winter/player/145614-marco-streller","M. Streller")</f>
        <v>M. Streller</v>
      </c>
      <c s="52" r="N308"/>
    </row>
    <row r="309">
      <c s="52" r="A309"/>
      <c s="52" r="B309"/>
      <c s="52" r="C309"/>
      <c s="52" r="D309"/>
      <c s="52" r="E309"/>
      <c s="52" r="F309"/>
      <c s="52" r="G309"/>
      <c s="52" r="H309"/>
      <c s="52" r="I309"/>
      <c s="52" r="J309"/>
      <c s="52" r="K309"/>
      <c s="52" r="L309"/>
      <c t="str" s="76" r="M309">
        <f>HYPERLINK("http://sofifa.com/en/fifa13winter/player/145027-martin-taylor","M. Taylor")</f>
        <v>M. Taylor</v>
      </c>
      <c s="52" r="N309"/>
    </row>
    <row r="310">
      <c s="52" r="A310"/>
      <c s="52" r="B310"/>
      <c s="52" r="C310"/>
      <c s="52" r="D310"/>
      <c s="52" r="E310"/>
      <c s="52" r="F310"/>
      <c s="52" r="G310"/>
      <c s="52" r="H310"/>
      <c s="52" r="I310"/>
      <c s="52" r="J310"/>
      <c s="52" r="K310"/>
      <c s="52" r="L310"/>
      <c t="str" s="76" r="M310">
        <f>HYPERLINK("http://sofifa.com/en/fifa13winter/player/147792-magnus-troest","M. Troest")</f>
        <v>M. Troest</v>
      </c>
      <c s="52" r="N310"/>
    </row>
    <row r="311">
      <c s="52" r="A311"/>
      <c s="52" r="B311"/>
      <c s="52" r="C311"/>
      <c s="52" r="D311"/>
      <c s="52" r="E311"/>
      <c s="52" r="F311"/>
      <c s="52" r="G311"/>
      <c s="52" r="H311"/>
      <c s="52" r="I311"/>
      <c s="52" r="J311"/>
      <c s="52" r="K311"/>
      <c s="52" r="L311"/>
      <c t="str" s="76" r="M311">
        <f>HYPERLINK("http://sofifa.com/en/fifa13winter/player/149751-mike-van-der-hoorn","M. van der Hoorn")</f>
        <v>M. van der Hoorn</v>
      </c>
      <c s="52" r="N311"/>
    </row>
    <row r="312">
      <c s="52" r="A312"/>
      <c s="52" r="B312"/>
      <c s="52" r="C312"/>
      <c s="52" r="D312"/>
      <c s="52" r="E312"/>
      <c s="52" r="F312"/>
      <c s="52" r="G312"/>
      <c s="52" r="H312"/>
      <c s="52" r="I312"/>
      <c s="52" r="J312"/>
      <c s="52" r="K312"/>
      <c s="52" r="L312"/>
      <c t="str" s="76" r="M312">
        <f>HYPERLINK("http://sofifa.com/en/fifa13winter/player/145240-marcin-wasilewski","M. Wasilewski")</f>
        <v>M. Wasilewski</v>
      </c>
      <c s="52" r="N312"/>
    </row>
    <row r="313">
      <c s="52" r="A313"/>
      <c s="52" r="B313"/>
      <c s="52" r="C313"/>
      <c s="52" r="D313"/>
      <c s="52" r="E313"/>
      <c s="52" r="F313"/>
      <c s="52" r="G313"/>
      <c s="52" r="H313"/>
      <c s="52" r="I313"/>
      <c s="52" r="J313"/>
      <c s="52" r="K313"/>
      <c s="52" r="L313"/>
      <c t="str" s="76" r="M313">
        <f>HYPERLINK("http://sofifa.com/en/fifa13winter/player/144325-magnus-wikstrom","M. Wikström")</f>
        <v>M. Wikström</v>
      </c>
      <c s="52" r="N313"/>
    </row>
    <row r="314">
      <c s="52" r="A314"/>
      <c s="52" r="B314"/>
      <c s="52" r="C314"/>
      <c s="52" r="D314"/>
      <c s="52" r="E314"/>
      <c s="52" r="F314"/>
      <c s="52" r="G314"/>
      <c s="52" r="H314"/>
      <c s="52" r="I314"/>
      <c s="52" r="J314"/>
      <c s="52" r="K314"/>
      <c s="52" r="L314"/>
      <c t="str" s="76" r="M314">
        <f>HYPERLINK("http://sofifa.com/en/fifa13winter/player/146489-marius-zaliukas","M. Žaliukas")</f>
        <v>M. Žaliukas</v>
      </c>
      <c s="52" r="N314"/>
    </row>
    <row r="315">
      <c s="52" r="A315"/>
      <c s="52" r="B315"/>
      <c s="52" r="C315"/>
      <c s="52" r="D315"/>
      <c s="52" r="E315"/>
      <c s="52" r="F315"/>
      <c s="52" r="G315"/>
      <c s="52" r="H315"/>
      <c s="52" r="I315"/>
      <c s="52" r="J315"/>
      <c s="52" r="K315"/>
      <c s="52" r="L315"/>
      <c t="str" s="76" r="M315">
        <f>HYPERLINK("http://sofifa.com/en/fifa13winter/player/146241-mateus-alberto-contreira-goncalves","Manucho")</f>
        <v>Manucho</v>
      </c>
      <c s="52" r="N315"/>
    </row>
    <row r="316">
      <c s="52" r="A316"/>
      <c s="52" r="B316"/>
      <c s="52" r="C316"/>
      <c s="52" r="D316"/>
      <c s="52" r="E316"/>
      <c s="52" r="F316"/>
      <c s="52" r="G316"/>
      <c s="52" r="H316"/>
      <c s="52" r="I316"/>
      <c s="52" r="J316"/>
      <c s="52" r="K316"/>
      <c s="52" r="L316"/>
      <c t="str" s="76" r="M316">
        <f>HYPERLINK("http://sofifa.com/en/fifa13winter/player/146500-marcio-nascimento-rozario","Márcio Rozário")</f>
        <v>Márcio Rozário</v>
      </c>
      <c s="52" r="N316"/>
    </row>
    <row r="317">
      <c s="52" r="A317"/>
      <c s="52" r="B317"/>
      <c s="52" r="C317"/>
      <c s="52" r="D317"/>
      <c s="52" r="E317"/>
      <c s="52" r="F317"/>
      <c s="52" r="G317"/>
      <c s="52" r="H317"/>
      <c s="52" r="I317"/>
      <c s="52" r="J317"/>
      <c s="52" r="K317"/>
      <c s="52" r="L317"/>
      <c t="str" s="76" r="M317">
        <f>HYPERLINK("http://sofifa.com/en/fifa13winter/player/147748-david-mateos-ramajo","Mateos")</f>
        <v>Mateos</v>
      </c>
      <c s="52" r="N317"/>
    </row>
    <row r="318">
      <c s="52" r="A318"/>
      <c s="52" r="B318"/>
      <c s="52" r="C318"/>
      <c s="52" r="D318"/>
      <c s="52" r="E318"/>
      <c s="52" r="F318"/>
      <c s="52" r="G318"/>
      <c s="52" r="H318"/>
      <c s="52" r="I318"/>
      <c s="52" r="J318"/>
      <c s="52" r="K318"/>
      <c s="52" r="L318"/>
      <c t="str" s="76" r="M318">
        <f>HYPERLINK("http://sofifa.com/en/fifa13winter/player/143805-mauricio-fernandes","Maurício")</f>
        <v>Maurício</v>
      </c>
      <c s="52" r="N318"/>
    </row>
    <row r="319">
      <c s="52" r="A319"/>
      <c s="52" r="B319"/>
      <c s="52" r="C319"/>
      <c s="52" r="D319"/>
      <c s="52" r="E319"/>
      <c s="52" r="F319"/>
      <c s="52" r="G319"/>
      <c s="52" r="H319"/>
      <c s="52" r="I319"/>
      <c s="52" r="J319"/>
      <c s="52" r="K319"/>
      <c s="52" r="L319"/>
      <c t="str" s="76" r="M319">
        <f>HYPERLINK("http://sofifa.com/en/fifa13winter/player/145496-moises-hurtado-perez","Moises Hurtado")</f>
        <v>Moises Hurtado</v>
      </c>
      <c s="52" r="N319"/>
    </row>
    <row r="320">
      <c s="52" r="A320"/>
      <c s="52" r="B320"/>
      <c s="52" r="C320"/>
      <c s="52" r="D320"/>
      <c s="52" r="E320"/>
      <c s="52" r="F320"/>
      <c s="52" r="G320"/>
      <c s="52" r="H320"/>
      <c s="52" r="I320"/>
      <c s="52" r="J320"/>
      <c s="52" r="K320"/>
      <c s="52" r="L320"/>
      <c t="str" s="76" r="M320">
        <f>HYPERLINK("http://sofifa.com/en/fifa13winter/player/149338-nestor-araujo","N. Araujo")</f>
        <v>N. Araujo</v>
      </c>
      <c s="52" r="N320"/>
    </row>
    <row r="321">
      <c s="52" r="A321"/>
      <c s="52" r="B321"/>
      <c s="52" r="C321"/>
      <c s="52" r="D321"/>
      <c s="52" r="E321"/>
      <c s="52" r="F321"/>
      <c s="52" r="G321"/>
      <c s="52" r="H321"/>
      <c s="52" r="I321"/>
      <c s="52" r="J321"/>
      <c s="52" r="K321"/>
      <c s="52" r="L321"/>
      <c t="str" s="76" r="M321">
        <f>HYPERLINK("http://sofifa.com/en/fifa13winter/player/145092-nils-eric-johansson","N. Johansson")</f>
        <v>N. Johansson</v>
      </c>
      <c s="52" r="N321"/>
    </row>
    <row r="322">
      <c s="52" r="A322"/>
      <c s="52" r="B322"/>
      <c s="52" r="C322"/>
      <c s="52" r="D322"/>
      <c s="52" r="E322"/>
      <c s="52" r="F322"/>
      <c s="52" r="G322"/>
      <c s="52" r="H322"/>
      <c s="52" r="I322"/>
      <c s="52" r="J322"/>
      <c s="52" r="K322"/>
      <c s="52" r="L322"/>
      <c t="str" s="76" r="M322">
        <f>HYPERLINK("http://sofifa.com/en/fifa13winter/player/148137-nedeljko-malic","N. Malić")</f>
        <v>N. Malić</v>
      </c>
      <c s="52" r="N322"/>
    </row>
    <row r="323">
      <c s="52" r="A323"/>
      <c s="52" r="B323"/>
      <c s="52" r="C323"/>
      <c s="52" r="D323"/>
      <c s="52" r="E323"/>
      <c s="52" r="F323"/>
      <c s="52" r="G323"/>
      <c s="52" r="H323"/>
      <c s="52" r="I323"/>
      <c s="52" r="J323"/>
      <c s="52" r="K323"/>
      <c s="52" r="L323"/>
      <c t="str" s="76" r="M323">
        <f>HYPERLINK("http://sofifa.com/en/fifa13winter/player/145311-norbert-meszaros","N. Mészáros")</f>
        <v>N. Mészáros</v>
      </c>
      <c s="52" r="N323"/>
    </row>
    <row r="324">
      <c s="52" r="A324"/>
      <c s="52" r="B324"/>
      <c s="52" r="C324"/>
      <c s="52" r="D324"/>
      <c s="52" r="E324"/>
      <c s="52" r="F324"/>
      <c s="52" r="G324"/>
      <c s="52" r="H324"/>
      <c s="52" r="I324"/>
      <c s="52" r="J324"/>
      <c s="52" r="K324"/>
      <c s="52" r="L324"/>
      <c t="str" s="76" r="M324">
        <f>HYPERLINK("http://sofifa.com/en/fifa13winter/player/147898-nicolas-pallois","N. Pallois")</f>
        <v>N. Pallois</v>
      </c>
      <c s="52" r="N324"/>
    </row>
    <row r="325">
      <c s="52" r="A325"/>
      <c s="52" r="B325"/>
      <c s="52" r="C325"/>
      <c s="52" r="D325"/>
      <c s="52" r="E325"/>
      <c s="52" r="F325"/>
      <c s="52" r="G325"/>
      <c s="52" r="H325"/>
      <c s="52" r="I325"/>
      <c s="52" r="J325"/>
      <c s="52" r="K325"/>
      <c s="52" r="L325"/>
      <c t="str" s="76" r="M325">
        <f>HYPERLINK("http://sofifa.com/en/fifa13winter/player/144818-noe-pamarot","N. Pamarot")</f>
        <v>N. Pamarot</v>
      </c>
      <c s="52" r="N325"/>
    </row>
    <row r="326">
      <c s="52" r="A326"/>
      <c s="52" r="B326"/>
      <c s="52" r="C326"/>
      <c s="52" r="D326"/>
      <c s="52" r="E326"/>
      <c s="52" r="F326"/>
      <c s="52" r="G326"/>
      <c s="52" r="H326"/>
      <c s="52" r="I326"/>
      <c s="52" r="J326"/>
      <c s="52" r="K326"/>
      <c s="52" r="L326"/>
      <c t="str" s="76" r="M326">
        <f>HYPERLINK("http://sofifa.com/en/fifa13winter/player/146226-nicolas-spolli","N. Spolli")</f>
        <v>N. Spolli</v>
      </c>
      <c s="52" r="N326"/>
    </row>
    <row r="327">
      <c s="52" r="A327"/>
      <c s="52" r="B327"/>
      <c s="52" r="C327"/>
      <c s="52" r="D327"/>
      <c s="52" r="E327"/>
      <c s="52" r="F327"/>
      <c s="52" r="G327"/>
      <c s="52" r="H327"/>
      <c s="52" r="I327"/>
      <c s="52" r="J327"/>
      <c s="52" r="K327"/>
      <c s="52" r="L327"/>
      <c t="str" s="76" r="M327">
        <f>HYPERLINK("http://sofifa.com/en/fifa13winter/player/146976-nikolai-topor-stanley","N. Topor-Stanley")</f>
        <v>N. Topor-Stanley</v>
      </c>
      <c s="52" r="N327"/>
    </row>
    <row r="328">
      <c s="52" r="A328"/>
      <c s="52" r="B328"/>
      <c s="52" r="C328"/>
      <c s="52" r="D328"/>
      <c s="52" r="E328"/>
      <c s="52" r="F328"/>
      <c s="52" r="G328"/>
      <c s="52" r="H328"/>
      <c s="52" r="I328"/>
      <c s="52" r="J328"/>
      <c s="52" r="K328"/>
      <c s="52" r="L328"/>
      <c t="str" s="76" r="M328">
        <f>HYPERLINK("http://sofifa.com/en/fifa13winter/player/146639-nemanja-tubic","N. Tubić")</f>
        <v>N. Tubić</v>
      </c>
      <c s="52" r="N328"/>
    </row>
    <row r="329">
      <c s="52" r="A329"/>
      <c s="52" r="B329"/>
      <c s="52" r="C329"/>
      <c s="52" r="D329"/>
      <c s="52" r="E329"/>
      <c s="52" r="F329"/>
      <c s="52" r="G329"/>
      <c s="52" r="H329"/>
      <c s="52" r="I329"/>
      <c s="52" r="J329"/>
      <c s="52" r="K329"/>
      <c s="52" r="L329"/>
      <c t="str" s="76" r="M329">
        <f>HYPERLINK("http://sofifa.com/en/fifa13winter/player/145739-nemanja-vidic","N. Vidić")</f>
        <v>N. Vidić</v>
      </c>
      <c s="52" r="N329"/>
    </row>
    <row r="330">
      <c s="52" r="A330"/>
      <c s="52" r="B330"/>
      <c s="52" r="C330"/>
      <c s="52" r="D330"/>
      <c s="52" r="E330"/>
      <c s="52" r="F330"/>
      <c s="52" r="G330"/>
      <c s="52" r="H330"/>
      <c s="52" r="I330"/>
      <c s="52" r="J330"/>
      <c s="52" r="K330"/>
      <c s="52" r="L330"/>
      <c t="str" s="76" r="M330">
        <f>HYPERLINK("http://sofifa.com/en/fifa13winter/player/145348-nikola-zigic","N. Žigić")</f>
        <v>N. Žigić</v>
      </c>
      <c s="52" r="N330"/>
    </row>
    <row r="331">
      <c s="52" r="A331"/>
      <c s="52" r="B331"/>
      <c s="52" r="C331"/>
      <c s="52" r="D331"/>
      <c s="52" r="E331"/>
      <c s="52" r="F331"/>
      <c s="52" r="G331"/>
      <c s="52" r="H331"/>
      <c s="52" r="I331"/>
      <c s="52" r="J331"/>
      <c s="52" r="K331"/>
      <c s="52" r="L331"/>
      <c t="str" s="76" r="M331">
        <f>HYPERLINK("http://sofifa.com/en/fifa13winter/player/147134-helio-hermito-neto","Neto")</f>
        <v>Neto</v>
      </c>
      <c s="52" r="N331"/>
    </row>
    <row r="332">
      <c s="52" r="A332"/>
      <c s="52" r="B332"/>
      <c s="52" r="C332"/>
      <c s="52" r="D332"/>
      <c s="52" r="E332"/>
      <c s="52" r="F332"/>
      <c s="52" r="G332"/>
      <c s="52" r="H332"/>
      <c s="52" r="I332"/>
      <c s="52" r="J332"/>
      <c s="52" r="K332"/>
      <c s="52" r="L332"/>
      <c t="str" s="76" r="M332">
        <f>HYPERLINK("http://sofifa.com/en/fifa13winter/player/147747-nilton-ferreira-junior","Nilton")</f>
        <v>Nilton</v>
      </c>
      <c s="52" r="N332"/>
    </row>
    <row r="333">
      <c s="52" r="A333"/>
      <c s="52" r="B333"/>
      <c s="52" r="C333"/>
      <c s="52" r="D333"/>
      <c s="52" r="E333"/>
      <c s="52" r="F333"/>
      <c s="52" r="G333"/>
      <c s="52" r="H333"/>
      <c s="52" r="I333"/>
      <c s="52" r="J333"/>
      <c s="52" r="K333"/>
      <c s="52" r="L333"/>
      <c t="str" s="76" r="M333">
        <f>HYPERLINK("http://sofifa.com/en/fifa13winter/player/146677-osama-al-muwallad","O. Al Muwallad")</f>
        <v>O. Al Muwallad</v>
      </c>
      <c s="52" r="N333"/>
    </row>
    <row r="334">
      <c s="52" r="A334"/>
      <c s="52" r="B334"/>
      <c s="52" r="C334"/>
      <c s="52" r="D334"/>
      <c s="52" r="E334"/>
      <c s="52" r="F334"/>
      <c s="52" r="G334"/>
      <c s="52" r="H334"/>
      <c s="52" r="I334"/>
      <c s="52" r="J334"/>
      <c s="52" r="K334"/>
      <c s="52" r="L334"/>
      <c t="str" s="76" r="M334">
        <f>HYPERLINK("http://sofifa.com/en/fifa13winter/player/146751-osman-chavez","O. Chávez")</f>
        <v>O. Chávez</v>
      </c>
      <c s="52" r="N334"/>
    </row>
    <row r="335">
      <c s="52" r="A335"/>
      <c s="52" r="B335"/>
      <c s="52" r="C335"/>
      <c s="52" r="D335"/>
      <c s="52" r="E335"/>
      <c s="52" r="F335"/>
      <c s="52" r="G335"/>
      <c s="52" r="H335"/>
      <c s="52" r="I335"/>
      <c s="52" r="J335"/>
      <c s="52" r="K335"/>
      <c s="52" r="L335"/>
      <c t="str" s="76" r="M335">
        <f>HYPERLINK("http://sofifa.com/en/fifa13winter/player/149195-ousseynou-cisse","O. Cissé")</f>
        <v>O. Cissé</v>
      </c>
      <c s="52" r="N335"/>
    </row>
    <row r="336">
      <c s="52" r="A336"/>
      <c s="52" r="B336"/>
      <c s="52" r="C336"/>
      <c s="52" r="D336"/>
      <c s="52" r="E336"/>
      <c s="52" r="F336"/>
      <c s="52" r="G336"/>
      <c s="52" r="H336"/>
      <c s="52" r="I336"/>
      <c s="52" r="J336"/>
      <c s="52" r="K336"/>
      <c s="52" r="L336"/>
      <c t="str" s="76" r="M336">
        <f>HYPERLINK("http://sofifa.com/en/fifa13winter/player/144950-orlando-engelaar","O. Engelaar")</f>
        <v>O. Engelaar</v>
      </c>
      <c s="52" r="N336"/>
    </row>
    <row r="337">
      <c s="52" r="A337"/>
      <c s="52" r="B337"/>
      <c s="52" r="C337"/>
      <c s="52" r="D337"/>
      <c s="52" r="E337"/>
      <c s="52" r="F337"/>
      <c s="52" r="G337"/>
      <c s="52" r="H337"/>
      <c s="52" r="I337"/>
      <c s="52" r="J337"/>
      <c s="52" r="K337"/>
      <c s="52" r="L337"/>
      <c t="str" s="76" r="M337">
        <f>HYPERLINK("http://sofifa.com/en/fifa13winter/player/148398-olof-mard","O. Mård")</f>
        <v>O. Mård</v>
      </c>
      <c s="52" r="N337"/>
    </row>
    <row r="338">
      <c s="52" r="A338"/>
      <c s="52" r="B338"/>
      <c s="52" r="C338"/>
      <c s="52" r="D338"/>
      <c s="52" r="E338"/>
      <c s="52" r="F338"/>
      <c s="52" r="G338"/>
      <c s="52" r="H338"/>
      <c s="52" r="I338"/>
      <c s="52" r="J338"/>
      <c s="52" r="K338"/>
      <c s="52" r="L338"/>
      <c t="str" s="76" r="M338">
        <f>HYPERLINK("http://sofifa.com/en/fifa13winter/player/145741-olivier-occean","O. Occéan")</f>
        <v>O. Occéan</v>
      </c>
      <c s="52" r="N338"/>
    </row>
    <row r="339">
      <c s="52" r="A339"/>
      <c s="52" r="B339"/>
      <c s="52" r="C339"/>
      <c s="52" r="D339"/>
      <c s="52" r="E339"/>
      <c s="52" r="F339"/>
      <c s="52" r="G339"/>
      <c s="52" r="H339"/>
      <c s="52" r="I339"/>
      <c s="52" r="J339"/>
      <c s="52" r="K339"/>
      <c s="52" r="L339"/>
      <c t="str" s="76" r="M339">
        <f>HYPERLINK("http://sofifa.com/en/fifa13winter/player/145943-oguchi-onyewu","O. Onyewu")</f>
        <v>O. Onyewu</v>
      </c>
      <c s="52" r="N339"/>
    </row>
    <row r="340">
      <c s="52" r="A340"/>
      <c s="52" r="B340"/>
      <c s="52" r="C340"/>
      <c s="52" r="D340"/>
      <c s="52" r="E340"/>
      <c s="52" r="F340"/>
      <c s="52" r="G340"/>
      <c s="52" r="H340"/>
      <c s="52" r="I340"/>
      <c s="52" r="J340"/>
      <c s="52" r="K340"/>
      <c s="52" r="L340"/>
      <c t="str" s="76" r="M340">
        <f>HYPERLINK("http://sofifa.com/en/fifa13winter/player/146025-ozeia-de-paula-maciel","Ozéia")</f>
        <v>Ozéia</v>
      </c>
      <c s="52" r="N340"/>
    </row>
    <row r="341">
      <c s="52" r="A341"/>
      <c s="52" r="B341"/>
      <c s="52" r="C341"/>
      <c s="52" r="D341"/>
      <c s="52" r="E341"/>
      <c s="52" r="F341"/>
      <c s="52" r="G341"/>
      <c s="52" r="H341"/>
      <c s="52" r="I341"/>
      <c s="52" r="J341"/>
      <c s="52" r="K341"/>
      <c s="52" r="L341"/>
      <c t="str" s="76" r="M341">
        <f>HYPERLINK("http://sofifa.com/en/fifa13winter/player/148168-paulus-arajuuri","P. Arajuuri")</f>
        <v>P. Arajuuri</v>
      </c>
      <c s="52" r="N341"/>
    </row>
    <row r="342">
      <c s="52" r="A342"/>
      <c s="52" r="B342"/>
      <c s="52" r="C342"/>
      <c s="52" r="D342"/>
      <c s="52" r="E342"/>
      <c s="52" r="F342"/>
      <c s="52" r="G342"/>
      <c s="52" r="H342"/>
      <c s="52" r="I342"/>
      <c s="52" r="J342"/>
      <c s="52" r="K342"/>
      <c s="52" r="L342"/>
      <c t="str" s="76" r="M342">
        <f>HYPERLINK("http://sofifa.com/en/fifa13winter/player/145813-peter-clarke","P. Clarke")</f>
        <v>P. Clarke</v>
      </c>
      <c s="52" r="N342"/>
    </row>
    <row r="343">
      <c s="52" r="A343"/>
      <c s="52" r="B343"/>
      <c s="52" r="C343"/>
      <c s="52" r="D343"/>
      <c s="52" r="E343"/>
      <c s="52" r="F343"/>
      <c s="52" r="G343"/>
      <c s="52" r="H343"/>
      <c s="52" r="I343"/>
      <c s="52" r="J343"/>
      <c s="52" r="K343"/>
      <c s="52" r="L343"/>
      <c t="str" s="76" r="M343">
        <f>HYPERLINK("http://sofifa.com/en/fifa13winter/player/148337-papy-mison-djilobodji","P. Djilobodji")</f>
        <v>P. Djilobodji</v>
      </c>
      <c s="52" r="N343"/>
    </row>
    <row r="344">
      <c s="52" r="A344"/>
      <c s="52" r="B344"/>
      <c s="52" r="C344"/>
      <c s="52" r="D344"/>
      <c s="52" r="E344"/>
      <c s="52" r="F344"/>
      <c s="52" r="G344"/>
      <c s="52" r="H344"/>
      <c s="52" r="I344"/>
      <c s="52" r="J344"/>
      <c s="52" r="K344"/>
      <c s="52" r="L344"/>
      <c t="str" s="76" r="M344">
        <f>HYPERLINK("http://sofifa.com/en/fifa13winter/player/144387-peter-kovacs","P. Kovács")</f>
        <v>P. Kovács</v>
      </c>
      <c s="52" r="N344"/>
    </row>
    <row r="345">
      <c s="52" r="A345"/>
      <c s="52" r="B345"/>
      <c s="52" r="C345"/>
      <c s="52" r="D345"/>
      <c s="52" r="E345"/>
      <c s="52" r="F345"/>
      <c s="52" r="G345"/>
      <c s="52" r="H345"/>
      <c s="52" r="I345"/>
      <c s="52" r="J345"/>
      <c s="52" r="K345"/>
      <c s="52" r="L345"/>
      <c t="str" s="76" r="M345">
        <f>HYPERLINK("http://sofifa.com/en/fifa13winter/player/144926-per-kroldrup","P. Krøldrup")</f>
        <v>P. Krøldrup</v>
      </c>
      <c s="52" r="N345"/>
    </row>
    <row r="346">
      <c s="52" r="A346"/>
      <c s="52" r="B346"/>
      <c s="52" r="C346"/>
      <c s="52" r="D346"/>
      <c s="52" r="E346"/>
      <c s="52" r="F346"/>
      <c s="52" r="G346"/>
      <c s="52" r="H346"/>
      <c s="52" r="I346"/>
      <c s="52" r="J346"/>
      <c s="52" r="K346"/>
      <c s="52" r="L346"/>
      <c t="str" s="76" r="M346">
        <f>HYPERLINK("http://sofifa.com/en/fifa13winter/player/146632-peter-larsson","P. Larsson")</f>
        <v>P. Larsson</v>
      </c>
      <c s="52" r="N346"/>
    </row>
    <row r="347">
      <c s="52" r="A347"/>
      <c s="52" r="B347"/>
      <c s="52" r="C347"/>
      <c s="52" r="D347"/>
      <c s="52" r="E347"/>
      <c s="52" r="F347"/>
      <c s="52" r="G347"/>
      <c s="52" r="H347"/>
      <c s="52" r="I347"/>
      <c s="52" r="J347"/>
      <c s="52" r="K347"/>
      <c s="52" r="L347"/>
      <c t="str" s="76" r="M347">
        <f>HYPERLINK("http://sofifa.com/en/fifa13winter/player/149446-pierre-michel-lasogga","P. Lasogga")</f>
        <v>P. Lasogga</v>
      </c>
      <c s="52" r="N347"/>
    </row>
    <row r="348">
      <c s="52" r="A348"/>
      <c s="52" r="B348"/>
      <c s="52" r="C348"/>
      <c s="52" r="D348"/>
      <c s="52" r="E348"/>
      <c s="52" r="F348"/>
      <c s="52" r="G348"/>
      <c s="52" r="H348"/>
      <c s="52" r="I348"/>
      <c s="52" r="J348"/>
      <c s="52" r="K348"/>
      <c s="52" r="L348"/>
      <c t="str" s="76" r="M348">
        <f>HYPERLINK("http://sofifa.com/en/fifa13winter/player/146813-per-mertesacker","P. Mertesacker")</f>
        <v>P. Mertesacker</v>
      </c>
      <c s="52" r="N348"/>
    </row>
    <row r="349">
      <c s="52" r="A349"/>
      <c s="52" r="B349"/>
      <c s="52" r="C349"/>
      <c s="52" r="D349"/>
      <c s="52" r="E349"/>
      <c s="52" r="F349"/>
      <c s="52" r="G349"/>
      <c s="52" r="H349"/>
      <c s="52" r="I349"/>
      <c s="52" r="J349"/>
      <c s="52" r="K349"/>
      <c s="52" r="L349"/>
      <c t="str" s="76" r="M349">
        <f>HYPERLINK("http://sofifa.com/en/fifa13winter/player/147763-hyun-bem-park","Park Hyun Bem")</f>
        <v>Park Hyun Bem</v>
      </c>
      <c s="52" r="N349"/>
    </row>
    <row r="350">
      <c s="52" r="A350"/>
      <c s="52" r="B350"/>
      <c s="52" r="C350"/>
      <c s="52" r="D350"/>
      <c s="52" r="E350"/>
      <c s="52" r="F350"/>
      <c s="52" r="G350"/>
      <c s="52" r="H350"/>
      <c s="52" r="I350"/>
      <c s="52" r="J350"/>
      <c s="52" r="K350"/>
      <c s="52" r="L350"/>
      <c t="str" s="76" r="M350">
        <f>HYPERLINK("http://sofifa.com/en/fifa13winter/player/146028-paulo-afonso-santos-junior","Paulão")</f>
        <v>Paulão</v>
      </c>
      <c s="52" r="N350"/>
    </row>
    <row r="351">
      <c s="52" r="A351"/>
      <c s="52" r="B351"/>
      <c s="52" r="C351"/>
      <c s="52" r="D351"/>
      <c s="52" r="E351"/>
      <c s="52" r="F351"/>
      <c s="52" r="G351"/>
      <c s="52" r="H351"/>
      <c s="52" r="I351"/>
      <c s="52" r="J351"/>
      <c s="52" r="K351"/>
      <c s="52" r="L351"/>
      <c t="str" s="76" r="M351">
        <f>HYPERLINK("http://sofifa.com/en/fifa13winter/player/147492-romain-bregerie","R. Brégerie")</f>
        <v>R. Brégerie</v>
      </c>
      <c s="52" r="N351"/>
    </row>
    <row r="352">
      <c s="52" r="A352"/>
      <c s="52" r="B352"/>
      <c s="52" r="C352"/>
      <c s="52" r="D352"/>
      <c s="52" r="E352"/>
      <c s="52" r="F352"/>
      <c s="52" r="G352"/>
      <c s="52" r="H352"/>
      <c s="52" r="I352"/>
      <c s="52" r="J352"/>
      <c s="52" r="K352"/>
      <c s="52" r="L352"/>
      <c t="str" s="76" r="M352">
        <f>HYPERLINK("http://sofifa.com/en/fifa13winter/player/146462-renato-civelli","R. Civelli")</f>
        <v>R. Civelli</v>
      </c>
      <c s="52" r="N352"/>
    </row>
    <row r="353">
      <c s="52" r="A353"/>
      <c s="52" r="B353"/>
      <c s="52" r="C353"/>
      <c s="52" r="D353"/>
      <c s="52" r="E353"/>
      <c s="52" r="F353"/>
      <c s="52" r="G353"/>
      <c s="52" r="H353"/>
      <c s="52" r="I353"/>
      <c s="52" r="J353"/>
      <c s="52" r="K353"/>
      <c s="52" r="L353"/>
      <c t="str" s="76" r="M353">
        <f>HYPERLINK("http://sofifa.com/en/fifa13winter/player/147203-robert-cornthwaite","R. Cornthwaite")</f>
        <v>R. Cornthwaite</v>
      </c>
      <c s="52" r="N353"/>
    </row>
    <row r="354">
      <c s="52" r="A354"/>
      <c s="52" r="B354"/>
      <c s="52" r="C354"/>
      <c s="52" r="D354"/>
      <c s="52" r="E354"/>
      <c s="52" r="F354"/>
      <c s="52" r="G354"/>
      <c s="52" r="H354"/>
      <c s="52" r="I354"/>
      <c s="52" r="J354"/>
      <c s="52" r="K354"/>
      <c s="52" r="L354"/>
      <c t="str" s="76" r="M354">
        <f>HYPERLINK("http://sofifa.com/en/fifa13winter/player/147360-ryan-donk","R. Donk")</f>
        <v>R. Donk</v>
      </c>
      <c s="52" r="N354"/>
    </row>
    <row r="355">
      <c s="52" r="A355"/>
      <c s="52" r="B355"/>
      <c s="52" r="C355"/>
      <c s="52" r="D355"/>
      <c s="52" r="E355"/>
      <c s="52" r="F355"/>
      <c s="52" r="G355"/>
      <c s="52" r="H355"/>
      <c s="52" r="I355"/>
      <c s="52" r="J355"/>
      <c s="52" r="K355"/>
      <c s="52" r="L355"/>
      <c t="str" s="76" r="M355">
        <f>HYPERLINK("http://sofifa.com/en/fifa13winter/player/148295-ross-draper","R. Draper")</f>
        <v>R. Draper</v>
      </c>
      <c s="52" r="N355"/>
    </row>
    <row r="356">
      <c s="52" r="A356"/>
      <c s="52" r="B356"/>
      <c s="52" r="C356"/>
      <c s="52" r="D356"/>
      <c s="52" r="E356"/>
      <c s="52" r="F356"/>
      <c s="52" r="G356"/>
      <c s="52" r="H356"/>
      <c s="52" r="I356"/>
      <c s="52" r="J356"/>
      <c s="52" r="K356"/>
      <c s="52" r="L356"/>
      <c t="str" s="76" r="M356">
        <f>HYPERLINK("http://sofifa.com/en/fifa13winter/player/144978-richard-dunne","R. Dunne")</f>
        <v>R. Dunne</v>
      </c>
      <c s="52" r="N356"/>
    </row>
    <row r="357">
      <c s="52" r="A357"/>
      <c s="52" r="B357"/>
      <c s="52" r="C357"/>
      <c s="52" r="D357"/>
      <c s="52" r="E357"/>
      <c s="52" r="F357"/>
      <c s="52" r="G357"/>
      <c s="52" r="H357"/>
      <c s="52" r="I357"/>
      <c s="52" r="J357"/>
      <c s="52" r="K357"/>
      <c s="52" r="L357"/>
      <c t="str" s="76" r="M357">
        <f>HYPERLINK("http://sofifa.com/en/fifa13winter/player/148423-roderic-filippi","R. Filippi")</f>
        <v>R. Filippi</v>
      </c>
      <c s="52" r="N357"/>
    </row>
    <row r="358">
      <c s="52" r="A358"/>
      <c s="52" r="B358"/>
      <c s="52" r="C358"/>
      <c s="52" r="D358"/>
      <c s="52" r="E358"/>
      <c s="52" r="F358"/>
      <c s="52" r="G358"/>
      <c s="52" r="H358"/>
      <c s="52" r="I358"/>
      <c s="52" r="J358"/>
      <c s="52" r="K358"/>
      <c s="52" r="L358"/>
      <c t="str" s="76" r="M358">
        <f>HYPERLINK("http://sofifa.com/en/fifa13winter/player/145468-rob-friend","R. Friend")</f>
        <v>R. Friend</v>
      </c>
      <c s="52" r="N358"/>
    </row>
    <row r="359">
      <c s="52" r="A359"/>
      <c s="52" r="B359"/>
      <c s="52" r="C359"/>
      <c s="52" r="D359"/>
      <c s="52" r="E359"/>
      <c s="52" r="F359"/>
      <c s="52" r="G359"/>
      <c s="52" r="H359"/>
      <c s="52" r="I359"/>
      <c s="52" r="J359"/>
      <c s="52" r="K359"/>
      <c s="52" r="L359"/>
      <c t="str" s="76" r="M359">
        <f>HYPERLINK("http://sofifa.com/en/fifa13winter/player/146476-rafal-grodzicki","R. Grodzicki")</f>
        <v>R. Grodzicki</v>
      </c>
      <c s="52" r="N359"/>
    </row>
    <row r="360">
      <c s="52" r="A360"/>
      <c s="52" r="B360"/>
      <c s="52" r="C360"/>
      <c s="52" r="D360"/>
      <c s="52" r="E360"/>
      <c s="52" r="F360"/>
      <c s="52" r="G360"/>
      <c s="52" r="H360"/>
      <c s="52" r="I360"/>
      <c s="52" r="J360"/>
      <c s="52" r="K360"/>
      <c s="52" r="L360"/>
      <c t="str" s="76" r="M360">
        <f>HYPERLINK("http://sofifa.com/en/fifa13winter/player/147566-rene-howe","R. Howe")</f>
        <v>R. Howe</v>
      </c>
      <c s="52" r="N360"/>
    </row>
    <row r="361">
      <c s="52" r="A361"/>
      <c s="52" r="B361"/>
      <c s="52" r="C361"/>
      <c s="52" r="D361"/>
      <c s="52" r="E361"/>
      <c s="52" r="F361"/>
      <c s="52" r="G361"/>
      <c s="52" r="H361"/>
      <c s="52" r="I361"/>
      <c s="52" r="J361"/>
      <c s="52" r="K361"/>
      <c s="52" r="L361"/>
      <c t="str" s="76" r="M361">
        <f>HYPERLINK("http://sofifa.com/en/fifa13winter/player/146771-robert-huth","R. Huth")</f>
        <v>R. Huth</v>
      </c>
      <c s="52" r="N361"/>
    </row>
    <row r="362">
      <c s="52" r="A362"/>
      <c s="52" r="B362"/>
      <c s="52" r="C362"/>
      <c s="52" r="D362"/>
      <c s="52" r="E362"/>
      <c s="52" r="F362"/>
      <c s="52" r="G362"/>
      <c s="52" r="H362"/>
      <c s="52" r="I362"/>
      <c s="52" r="J362"/>
      <c s="52" r="K362"/>
      <c s="52" r="L362"/>
      <c t="str" s="76" r="M362">
        <f>HYPERLINK("http://sofifa.com/en/fifa13winter/player/148082-reda-johnson","R. Johnson")</f>
        <v>R. Johnson</v>
      </c>
      <c s="52" r="N362"/>
    </row>
    <row r="363">
      <c s="52" r="A363"/>
      <c s="52" r="B363"/>
      <c s="52" r="C363"/>
      <c s="52" r="D363"/>
      <c s="52" r="E363"/>
      <c s="52" r="F363"/>
      <c s="52" r="G363"/>
      <c s="52" r="H363"/>
      <c s="52" r="I363"/>
      <c s="52" r="J363"/>
      <c s="52" r="K363"/>
      <c s="52" r="L363"/>
      <c t="str" s="76" r="M363">
        <f>HYPERLINK("http://sofifa.com/en/fifa13winter/player/145021-rob-jones","R. Jones")</f>
        <v>R. Jones</v>
      </c>
      <c s="52" r="N363"/>
    </row>
    <row r="364">
      <c s="52" r="A364"/>
      <c s="52" r="B364"/>
      <c s="52" r="C364"/>
      <c s="52" r="D364"/>
      <c s="52" r="E364"/>
      <c s="52" r="F364"/>
      <c s="52" r="G364"/>
      <c s="52" r="H364"/>
      <c s="52" r="I364"/>
      <c s="52" r="J364"/>
      <c s="52" r="K364"/>
      <c s="52" r="L364"/>
      <c t="str" s="76" r="M364">
        <f>HYPERLINK("http://sofifa.com/en/fifa13winter/player/146726-roberto-juarez","R. Juárez")</f>
        <v>R. Juárez</v>
      </c>
      <c s="52" r="N364"/>
    </row>
    <row r="365">
      <c s="52" r="A365"/>
      <c s="52" r="B365"/>
      <c s="52" r="C365"/>
      <c s="52" r="D365"/>
      <c s="52" r="E365"/>
      <c s="52" r="F365"/>
      <c s="52" r="G365"/>
      <c s="52" r="H365"/>
      <c s="52" r="I365"/>
      <c s="52" r="J365"/>
      <c s="52" r="K365"/>
      <c s="52" r="L365"/>
      <c t="str" s="76" r="M365">
        <f>HYPERLINK("http://sofifa.com/en/fifa13winter/player/146328-ronny-konig","R. König")</f>
        <v>R. König</v>
      </c>
      <c s="52" r="N365"/>
    </row>
    <row r="366">
      <c s="52" r="A366"/>
      <c s="52" r="B366"/>
      <c s="52" r="C366"/>
      <c s="52" r="D366"/>
      <c s="52" r="E366"/>
      <c s="52" r="F366"/>
      <c s="52" r="G366"/>
      <c s="52" r="H366"/>
      <c s="52" r="I366"/>
      <c s="52" r="J366"/>
      <c s="52" r="K366"/>
      <c s="52" r="L366"/>
      <c t="str" s="76" r="M366">
        <f>HYPERLINK("http://sofifa.com/en/fifa13winter/player/148398-raoul-cedric-loe","R. Loé")</f>
        <v>R. Loé</v>
      </c>
      <c s="52" r="N366"/>
    </row>
    <row r="367">
      <c s="52" r="A367"/>
      <c s="52" r="B367"/>
      <c s="52" r="C367"/>
      <c s="52" r="D367"/>
      <c s="52" r="E367"/>
      <c s="52" r="F367"/>
      <c s="52" r="G367"/>
      <c s="52" r="H367"/>
      <c s="52" r="I367"/>
      <c s="52" r="J367"/>
      <c s="52" r="K367"/>
      <c s="52" r="L367"/>
      <c t="str" s="76" r="M367">
        <f>HYPERLINK("http://sofifa.com/en/fifa13winter/player/149961-romelu-lukaku","R. Lukaku")</f>
        <v>R. Lukaku</v>
      </c>
      <c s="52" r="N367"/>
    </row>
    <row r="368">
      <c s="52" r="A368"/>
      <c s="52" r="B368"/>
      <c s="52" r="C368"/>
      <c s="52" r="D368"/>
      <c s="52" r="E368"/>
      <c s="52" r="F368"/>
      <c s="52" r="G368"/>
      <c s="52" r="H368"/>
      <c s="52" r="I368"/>
      <c s="52" r="J368"/>
      <c s="52" r="K368"/>
      <c s="52" r="L368"/>
      <c t="str" s="76" r="M368">
        <f>HYPERLINK("http://sofifa.com/en/fifa13winter/player/149246-robin-simovic","R. Simovic")</f>
        <v>R. Simovic</v>
      </c>
      <c s="52" r="N368"/>
    </row>
    <row r="369">
      <c s="52" r="A369"/>
      <c s="52" r="B369"/>
      <c s="52" r="C369"/>
      <c s="52" r="D369"/>
      <c s="52" r="E369"/>
      <c s="52" r="F369"/>
      <c s="52" r="G369"/>
      <c s="52" r="H369"/>
      <c s="52" r="I369"/>
      <c s="52" r="J369"/>
      <c s="52" r="K369"/>
      <c s="52" r="L369"/>
      <c t="str" s="76" r="M369">
        <f>HYPERLINK("http://sofifa.com/en/fifa13winter/player/146953-ron-vlaar","R. Vlaar")</f>
        <v>R. Vlaar</v>
      </c>
      <c s="52" r="N369"/>
    </row>
    <row r="370">
      <c s="52" r="A370"/>
      <c s="52" r="B370"/>
      <c s="52" r="C370"/>
      <c s="52" r="D370"/>
      <c s="52" r="E370"/>
      <c s="52" r="F370"/>
      <c s="52" r="G370"/>
      <c s="52" r="H370"/>
      <c s="52" r="I370"/>
      <c s="52" r="J370"/>
      <c s="52" r="K370"/>
      <c s="52" r="L370"/>
      <c t="str" s="76" r="M370">
        <f>HYPERLINK("http://sofifa.com/en/fifa13winter/player/147285-rafael-garcia-garcia","Rafa García")</f>
        <v>Rafa García</v>
      </c>
      <c s="52" r="N370"/>
    </row>
    <row r="371">
      <c s="52" r="A371"/>
      <c s="52" r="B371"/>
      <c s="52" r="C371"/>
      <c s="52" r="D371"/>
      <c s="52" r="E371"/>
      <c s="52" r="F371"/>
      <c s="52" r="G371"/>
      <c s="52" r="H371"/>
      <c s="52" r="I371"/>
      <c s="52" r="J371"/>
      <c s="52" r="K371"/>
      <c s="52" r="L371"/>
      <c t="str" s="76" r="M371">
        <f>HYPERLINK("http://sofifa.com/en/fifa13winter/player/148443-rafael-ferreira-donato","Rafael Donato")</f>
        <v>Rafael Donato</v>
      </c>
      <c s="52" r="N371"/>
    </row>
    <row r="372">
      <c s="52" r="A372"/>
      <c s="52" r="B372"/>
      <c s="52" r="C372"/>
      <c s="52" r="D372"/>
      <c s="52" r="E372"/>
      <c s="52" r="F372"/>
      <c s="52" r="G372"/>
      <c s="52" r="H372"/>
      <c s="52" r="I372"/>
      <c s="52" r="J372"/>
      <c s="52" r="K372"/>
      <c s="52" r="L372"/>
      <c t="str" s="76" r="M372">
        <f>HYPERLINK("http://sofifa.com/en/fifa13winter/player/146318-rafael-de-miranda-moura","Rafael Moura")</f>
        <v>Rafael Moura</v>
      </c>
      <c s="52" r="N372"/>
    </row>
    <row r="373">
      <c s="52" r="A373"/>
      <c s="52" r="B373"/>
      <c s="52" r="C373"/>
      <c s="52" r="D373"/>
      <c s="52" r="E373"/>
      <c s="52" r="F373"/>
      <c s="52" r="G373"/>
      <c s="52" r="H373"/>
      <c s="52" r="I373"/>
      <c s="52" r="J373"/>
      <c s="52" r="K373"/>
      <c s="52" r="L373"/>
      <c t="str" s="76" r="M373">
        <f>HYPERLINK("http://sofifa.com/en/fifa13winter/player/147809-razak-brimah","Razak")</f>
        <v>Razak</v>
      </c>
      <c s="52" r="N373"/>
    </row>
    <row r="374">
      <c s="52" r="A374"/>
      <c s="52" r="B374"/>
      <c s="52" r="C374"/>
      <c s="52" r="D374"/>
      <c s="52" r="E374"/>
      <c s="52" r="F374"/>
      <c s="52" r="G374"/>
      <c s="52" r="H374"/>
      <c s="52" r="I374"/>
      <c s="52" r="J374"/>
      <c s="52" r="K374"/>
      <c s="52" r="L374"/>
      <c t="str" s="76" r="M374">
        <f>HYPERLINK("http://sofifa.com/en/fifa13winter/player/144685-david-rivas-rodriguez","Rivas")</f>
        <v>Rivas</v>
      </c>
      <c s="52" r="N374"/>
    </row>
    <row r="375">
      <c s="52" r="A375"/>
      <c s="52" r="B375"/>
      <c s="52" r="C375"/>
      <c s="52" r="D375"/>
      <c s="52" r="E375"/>
      <c s="52" r="F375"/>
      <c s="52" r="G375"/>
      <c s="52" r="H375"/>
      <c s="52" r="I375"/>
      <c s="52" r="J375"/>
      <c s="52" r="K375"/>
      <c s="52" r="L375"/>
      <c t="str" s="76" r="M375">
        <f>HYPERLINK("http://sofifa.com/en/fifa13winter/player/147160-francisco-de-lima","Rodnei")</f>
        <v>Rodnei</v>
      </c>
      <c s="52" r="N375"/>
    </row>
    <row r="376">
      <c s="52" r="A376"/>
      <c s="52" r="B376"/>
      <c s="52" r="C376"/>
      <c s="52" r="D376"/>
      <c s="52" r="E376"/>
      <c s="52" r="F376"/>
      <c s="52" r="G376"/>
      <c s="52" r="H376"/>
      <c s="52" r="I376"/>
      <c s="52" r="J376"/>
      <c s="52" r="K376"/>
      <c s="52" r="L376"/>
      <c t="str" s="76" r="M376">
        <f>HYPERLINK("http://sofifa.com/en/fifa13winter/player/147936-rodrigo-modesto-da-silva-moledo","Rodrigo Moledo")</f>
        <v>Rodrigo Moledo</v>
      </c>
      <c s="52" r="N376"/>
    </row>
    <row r="377">
      <c s="52" r="A377"/>
      <c s="52" r="B377"/>
      <c s="52" r="C377"/>
      <c s="52" r="D377"/>
      <c s="52" r="E377"/>
      <c s="52" r="F377"/>
      <c s="52" r="G377"/>
      <c s="52" r="H377"/>
      <c s="52" r="I377"/>
      <c s="52" r="J377"/>
      <c s="52" r="K377"/>
      <c s="52" r="L377"/>
      <c t="str" s="76" r="M377">
        <f>HYPERLINK("http://sofifa.com/en/fifa13winter/player/148557-ronaldo-luiz-alves","Ronaldo Alves")</f>
        <v>Ronaldo Alves</v>
      </c>
      <c s="52" r="N377"/>
    </row>
    <row r="378">
      <c s="52" r="A378"/>
      <c s="52" r="B378"/>
      <c s="52" r="C378"/>
      <c s="52" r="D378"/>
      <c s="52" r="E378"/>
      <c s="52" r="F378"/>
      <c s="52" r="G378"/>
      <c s="52" r="H378"/>
      <c s="52" r="I378"/>
      <c s="52" r="J378"/>
      <c s="52" r="K378"/>
      <c s="52" r="L378"/>
      <c t="str" s="76" r="M378">
        <f>HYPERLINK("http://sofifa.com/en/fifa13winter/player/148971-sultan-al-dossari","S. Al Dossari")</f>
        <v>S. Al Dossari</v>
      </c>
      <c s="52" r="N378"/>
    </row>
    <row r="379">
      <c s="52" r="A379"/>
      <c s="52" r="B379"/>
      <c s="52" r="C379"/>
      <c s="52" r="D379"/>
      <c s="52" r="E379"/>
      <c s="52" r="F379"/>
      <c s="52" r="G379"/>
      <c s="52" r="H379"/>
      <c s="52" r="I379"/>
      <c s="52" r="J379"/>
      <c s="52" r="K379"/>
      <c s="52" r="L379"/>
      <c t="str" s="76" r="M379">
        <f>HYPERLINK("http://sofifa.com/en/fifa13winter/player/148881-stephane-diarra-badji","S. Badji")</f>
        <v>S. Badji</v>
      </c>
      <c s="52" r="N379"/>
    </row>
    <row r="380">
      <c s="52" r="A380"/>
      <c s="52" r="B380"/>
      <c s="52" r="C380"/>
      <c s="52" r="D380"/>
      <c s="52" r="E380"/>
      <c s="52" r="F380"/>
      <c s="52" r="G380"/>
      <c s="52" r="H380"/>
      <c s="52" r="I380"/>
      <c s="52" r="J380"/>
      <c s="52" r="K380"/>
      <c s="52" r="L380"/>
      <c t="str" s="76" r="M380">
        <f>HYPERLINK("http://sofifa.com/en/fifa13winter/player/144140-sam-collins","S. Collins")</f>
        <v>S. Collins</v>
      </c>
      <c s="52" r="N380"/>
    </row>
    <row r="381">
      <c s="52" r="A381"/>
      <c s="52" r="B381"/>
      <c s="52" r="C381"/>
      <c s="52" r="D381"/>
      <c s="52" r="E381"/>
      <c s="52" r="F381"/>
      <c s="52" r="G381"/>
      <c s="52" r="H381"/>
      <c s="52" r="I381"/>
      <c s="52" r="J381"/>
      <c s="52" r="K381"/>
      <c s="52" r="L381"/>
      <c t="str" s="76" r="M381">
        <f>HYPERLINK("http://sofifa.com/en/fifa13winter/player/147802-scott-cuthbert","S. Cuthbert")</f>
        <v>S. Cuthbert</v>
      </c>
      <c s="52" r="N381"/>
    </row>
    <row r="382">
      <c s="52" r="A382"/>
      <c s="52" r="B382"/>
      <c s="52" r="C382"/>
      <c s="52" r="D382"/>
      <c s="52" r="E382"/>
      <c s="52" r="F382"/>
      <c s="52" r="G382"/>
      <c s="52" r="H382"/>
      <c s="52" r="I382"/>
      <c s="52" r="J382"/>
      <c s="52" r="K382"/>
      <c s="52" r="L382"/>
      <c t="str" s="76" r="M382">
        <f>HYPERLINK("http://sofifa.com/en/fifa13winter/player/147700-sebastian-de-maio","S. De Maio")</f>
        <v>S. De Maio</v>
      </c>
      <c s="52" r="N382"/>
    </row>
    <row r="383">
      <c s="52" r="A383"/>
      <c s="52" r="B383"/>
      <c s="52" r="C383"/>
      <c s="52" r="D383"/>
      <c s="52" r="E383"/>
      <c s="52" r="F383"/>
      <c s="52" r="G383"/>
      <c s="52" r="H383"/>
      <c s="52" r="I383"/>
      <c s="52" r="J383"/>
      <c s="52" r="K383"/>
      <c s="52" r="L383"/>
      <c t="str" s="76" r="M383">
        <f>HYPERLINK("http://sofifa.com/en/fifa13winter/player/144334-sylvain-distin","S. Distin")</f>
        <v>S. Distin</v>
      </c>
      <c s="52" r="N383"/>
    </row>
    <row r="384">
      <c s="52" r="A384"/>
      <c s="52" r="B384"/>
      <c s="52" r="C384"/>
      <c s="52" r="D384"/>
      <c s="52" r="E384"/>
      <c s="52" r="F384"/>
      <c s="52" r="G384"/>
      <c s="52" r="H384"/>
      <c s="52" r="I384"/>
      <c s="52" r="J384"/>
      <c s="52" r="K384"/>
      <c s="52" r="L384"/>
      <c t="str" s="76" r="M384">
        <f>HYPERLINK("http://sofifa.com/en/fifa13winter/player/144651-steve-elliott","S. Elliott")</f>
        <v>S. Elliott</v>
      </c>
      <c s="52" r="N384"/>
    </row>
    <row r="385">
      <c s="52" r="A385"/>
      <c s="52" r="B385"/>
      <c s="52" r="C385"/>
      <c s="52" r="D385"/>
      <c s="52" r="E385"/>
      <c s="52" r="F385"/>
      <c s="52" r="G385"/>
      <c s="52" r="H385"/>
      <c s="52" r="I385"/>
      <c s="52" r="J385"/>
      <c s="52" r="K385"/>
      <c s="52" r="L385"/>
      <c t="str" s="76" r="M385">
        <f>HYPERLINK("http://sofifa.com/en/fifa13winter/player/148215-sergio-ariel-escudero","S. Escudero")</f>
        <v>S. Escudero</v>
      </c>
      <c s="52" r="N385"/>
    </row>
    <row r="386">
      <c s="52" r="A386"/>
      <c s="52" r="B386"/>
      <c s="52" r="C386"/>
      <c s="52" r="D386"/>
      <c s="52" r="E386"/>
      <c s="52" r="F386"/>
      <c s="52" r="G386"/>
      <c s="52" r="H386"/>
      <c s="52" r="I386"/>
      <c s="52" r="J386"/>
      <c s="52" r="K386"/>
      <c s="52" r="L386"/>
      <c t="str" s="76" r="M386">
        <f>HYPERLINK("http://sofifa.com/en/fifa13winter/player/143749-steve-howard","S. Howard")</f>
        <v>S. Howard</v>
      </c>
      <c s="52" r="N386"/>
    </row>
    <row r="387">
      <c s="52" r="A387"/>
      <c s="52" r="B387"/>
      <c s="52" r="C387"/>
      <c s="52" r="D387"/>
      <c s="52" r="E387"/>
      <c s="52" r="F387"/>
      <c s="52" r="G387"/>
      <c s="52" r="H387"/>
      <c s="52" r="I387"/>
      <c s="52" r="J387"/>
      <c s="52" r="K387"/>
      <c s="52" r="L387"/>
      <c t="str" s="76" r="M387">
        <f>HYPERLINK("http://sofifa.com/en/fifa13winter/player/148682-serigne-kara","S. Kara")</f>
        <v>S. Kara</v>
      </c>
      <c s="52" r="N387"/>
    </row>
    <row r="388">
      <c s="52" r="A388"/>
      <c s="52" r="B388"/>
      <c s="52" r="C388"/>
      <c s="52" r="D388"/>
      <c s="52" r="E388"/>
      <c s="52" r="F388"/>
      <c s="52" r="G388"/>
      <c s="52" r="H388"/>
      <c s="52" r="I388"/>
      <c s="52" r="J388"/>
      <c s="52" r="K388"/>
      <c s="52" r="L388"/>
      <c t="str" s="76" r="M388">
        <f>HYPERLINK("http://sofifa.com/en/fifa13winter/player/143933-shefki-kuqi","S. Kuqi")</f>
        <v>S. Kuqi</v>
      </c>
      <c s="52" r="N388"/>
    </row>
    <row r="389">
      <c s="52" r="A389"/>
      <c s="52" r="B389"/>
      <c s="52" r="C389"/>
      <c s="52" r="D389"/>
      <c s="52" r="E389"/>
      <c s="52" r="F389"/>
      <c s="52" r="G389"/>
      <c s="52" r="H389"/>
      <c s="52" r="I389"/>
      <c s="52" r="J389"/>
      <c s="52" r="K389"/>
      <c s="52" r="L389"/>
      <c t="str" s="76" r="M389">
        <f>HYPERLINK("http://sofifa.com/en/fifa13winter/player/144918-sotirios-kyrgiakos","S. Kyrgiakos")</f>
        <v>S. Kyrgiakos</v>
      </c>
      <c s="52" r="N389"/>
    </row>
    <row r="390">
      <c s="52" r="A390"/>
      <c s="52" r="B390"/>
      <c s="52" r="C390"/>
      <c s="52" r="D390"/>
      <c s="52" r="E390"/>
      <c s="52" r="F390"/>
      <c s="52" r="G390"/>
      <c s="52" r="H390"/>
      <c s="52" r="I390"/>
      <c s="52" r="J390"/>
      <c s="52" r="K390"/>
      <c s="52" r="L390"/>
      <c t="str" s="76" r="M390">
        <f>HYPERLINK("http://sofifa.com/en/fifa13winter/player/146038-stefan-maierhofer","S. Maierhofer")</f>
        <v>S. Maierhofer</v>
      </c>
      <c s="52" r="N390"/>
    </row>
    <row r="391">
      <c s="52" r="A391"/>
      <c s="52" r="B391"/>
      <c s="52" r="C391"/>
      <c s="52" r="D391"/>
      <c s="52" r="E391"/>
      <c s="52" r="F391"/>
      <c s="52" r="G391"/>
      <c s="52" r="H391"/>
      <c s="52" r="I391"/>
      <c s="52" r="J391"/>
      <c s="52" r="K391"/>
      <c s="52" r="L391"/>
      <c t="str" s="76" r="M391">
        <f>HYPERLINK("http://sofifa.com/en/fifa13winter/player/149057-simon-makienok","S. Makienok")</f>
        <v>S. Makienok</v>
      </c>
      <c s="52" r="N391"/>
    </row>
    <row r="392">
      <c s="52" r="A392"/>
      <c s="52" r="B392"/>
      <c s="52" r="C392"/>
      <c s="52" r="D392"/>
      <c s="52" r="E392"/>
      <c s="52" r="F392"/>
      <c s="52" r="G392"/>
      <c s="52" r="H392"/>
      <c s="52" r="I392"/>
      <c s="52" r="J392"/>
      <c s="52" r="K392"/>
      <c s="52" r="L392"/>
      <c t="str" s="76" r="M392">
        <f>HYPERLINK("http://sofifa.com/en/fifa13winter/player/144807-sasa-ognenovski","S. Ognenovski")</f>
        <v>S. Ognenovski</v>
      </c>
      <c s="52" r="N392"/>
    </row>
    <row r="393">
      <c s="52" r="A393"/>
      <c s="52" r="B393"/>
      <c s="52" r="C393"/>
      <c s="52" r="D393"/>
      <c s="52" r="E393"/>
      <c s="52" r="F393"/>
      <c s="52" r="G393"/>
      <c s="52" r="H393"/>
      <c s="52" r="I393"/>
      <c s="52" r="J393"/>
      <c s="52" r="K393"/>
      <c s="52" r="L393"/>
      <c t="str" s="76" r="M393">
        <f>HYPERLINK("http://sofifa.com/en/fifa13winter/player/145401-seyi-olajengbesi","S. Olajengbesi")</f>
        <v>S. Olajengbesi</v>
      </c>
      <c s="52" r="N393"/>
    </row>
    <row r="394">
      <c s="52" r="A394"/>
      <c s="52" r="B394"/>
      <c s="52" r="C394"/>
      <c s="52" r="D394"/>
      <c s="52" r="E394"/>
      <c s="52" r="F394"/>
      <c s="52" r="G394"/>
      <c s="52" r="H394"/>
      <c s="52" r="I394"/>
      <c s="52" r="J394"/>
      <c s="52" r="K394"/>
      <c s="52" r="L394"/>
      <c t="str" s="76" r="M394">
        <f>HYPERLINK("http://sofifa.com/en/fifa13winter/player/146404-steve-pantelidis","S. Pantelidis")</f>
        <v>S. Pantelidis</v>
      </c>
      <c s="52" r="N394"/>
    </row>
    <row r="395">
      <c s="52" r="A395"/>
      <c s="52" r="B395"/>
      <c s="52" r="C395"/>
      <c s="52" r="D395"/>
      <c s="52" r="E395"/>
      <c s="52" r="F395"/>
      <c s="52" r="G395"/>
      <c s="52" r="H395"/>
      <c s="52" r="I395"/>
      <c s="52" r="J395"/>
      <c s="52" r="K395"/>
      <c s="52" r="L395"/>
      <c t="str" s="76" r="M395">
        <f>HYPERLINK("http://sofifa.com/en/fifa13winter/player/147307-sebastian-pinto","S. Pinto")</f>
        <v>S. Pinto</v>
      </c>
      <c s="52" r="N395"/>
    </row>
    <row r="396">
      <c s="52" r="A396"/>
      <c s="52" r="B396"/>
      <c s="52" r="C396"/>
      <c s="52" r="D396"/>
      <c s="52" r="E396"/>
      <c s="52" r="F396"/>
      <c s="52" r="G396"/>
      <c s="52" r="H396"/>
      <c s="52" r="I396"/>
      <c s="52" r="J396"/>
      <c s="52" r="K396"/>
      <c s="52" r="L396"/>
      <c t="str" s="76" r="M396">
        <f>HYPERLINK("http://sofifa.com/en/fifa13winter/player/148572-sloan-privat","S. Privat")</f>
        <v>S. Privat</v>
      </c>
      <c s="52" r="N396"/>
    </row>
    <row r="397">
      <c s="52" r="A397"/>
      <c s="52" r="B397"/>
      <c s="52" r="C397"/>
      <c s="52" r="D397"/>
      <c s="52" r="E397"/>
      <c s="52" r="F397"/>
      <c s="52" r="G397"/>
      <c s="52" r="H397"/>
      <c s="52" r="I397"/>
      <c s="52" r="J397"/>
      <c s="52" r="K397"/>
      <c s="52" r="L397"/>
      <c t="str" s="76" r="M397">
        <f>HYPERLINK("http://sofifa.com/en/fifa13winter/player/147808-sebastian-prodl","S. Prödl")</f>
        <v>S. Prödl</v>
      </c>
      <c s="52" r="N397"/>
    </row>
    <row r="398">
      <c s="52" r="A398"/>
      <c s="52" r="B398"/>
      <c s="52" r="C398"/>
      <c s="52" r="D398"/>
      <c s="52" r="E398"/>
      <c s="52" r="F398"/>
      <c s="52" r="G398"/>
      <c s="52" r="H398"/>
      <c s="52" r="I398"/>
      <c s="52" r="J398"/>
      <c s="52" r="K398"/>
      <c s="52" r="L398"/>
      <c t="str" s="76" r="M398">
        <f>HYPERLINK("http://sofifa.com/en/fifa13winter/player/145838-sebastien-puygrenier","S. Puygrenier")</f>
        <v>S. Puygrenier</v>
      </c>
      <c s="52" r="N398"/>
    </row>
    <row r="399">
      <c s="52" r="A399"/>
      <c s="52" r="B399"/>
      <c s="52" r="C399"/>
      <c s="52" r="D399"/>
      <c s="52" r="E399"/>
      <c s="52" r="F399"/>
      <c s="52" r="G399"/>
      <c s="52" r="H399"/>
      <c s="52" r="I399"/>
      <c s="52" r="J399"/>
      <c s="52" r="K399"/>
      <c s="52" r="L399"/>
      <c t="str" s="76" r="M399">
        <f>HYPERLINK("http://sofifa.com/en/fifa13winter/player/148401-slobodan-rajkovic","S. Rajković")</f>
        <v>S. Rajković</v>
      </c>
      <c s="52" r="N399"/>
    </row>
    <row r="400">
      <c s="52" r="A400"/>
      <c s="52" r="B400"/>
      <c s="52" r="C400"/>
      <c s="52" r="D400"/>
      <c s="52" r="E400"/>
      <c s="52" r="F400"/>
      <c s="52" r="G400"/>
      <c s="52" r="H400"/>
      <c s="52" r="I400"/>
      <c s="52" r="J400"/>
      <c s="52" r="K400"/>
      <c s="52" r="L400"/>
      <c t="str" s="76" r="M400">
        <f>HYPERLINK("http://sofifa.com/en/fifa13winter/player/145953-stevica-ristic","S. Ristic")</f>
        <v>S. Ristic</v>
      </c>
      <c s="52" r="N400"/>
    </row>
    <row r="401">
      <c s="52" r="A401"/>
      <c s="52" r="B401"/>
      <c s="52" r="C401"/>
      <c s="52" r="D401"/>
      <c s="52" r="E401"/>
      <c s="52" r="F401"/>
      <c s="52" r="G401"/>
      <c s="52" r="H401"/>
      <c s="52" r="I401"/>
      <c s="52" r="J401"/>
      <c s="52" r="K401"/>
      <c s="52" r="L401"/>
      <c t="str" s="76" r="M401">
        <f>HYPERLINK("http://sofifa.com/en/fifa13winter/player/148442-simon-romeron","S. Romerón")</f>
        <v>S. Romerón</v>
      </c>
      <c s="52" r="N401"/>
    </row>
    <row r="402">
      <c s="52" r="A402"/>
      <c s="52" r="B402"/>
      <c s="52" r="C402"/>
      <c s="52" r="D402"/>
      <c s="52" r="E402"/>
      <c s="52" r="F402"/>
      <c s="52" r="G402"/>
      <c s="52" r="H402"/>
      <c s="52" r="I402"/>
      <c s="52" r="J402"/>
      <c s="52" r="K402"/>
      <c s="52" r="L402"/>
      <c t="str" s="76" r="M402">
        <f>HYPERLINK("http://sofifa.com/en/fifa13winter/player/148626-salomon-rondon","S. Rondón")</f>
        <v>S. Rondón</v>
      </c>
      <c s="52" r="N402"/>
    </row>
    <row r="403">
      <c s="52" r="A403"/>
      <c s="52" r="B403"/>
      <c s="52" r="C403"/>
      <c s="52" r="D403"/>
      <c s="52" r="E403"/>
      <c s="52" r="F403"/>
      <c s="52" r="G403"/>
      <c s="52" r="H403"/>
      <c s="52" r="I403"/>
      <c s="52" r="J403"/>
      <c s="52" r="K403"/>
      <c s="52" r="L403"/>
      <c t="str" s="76" r="M403">
        <f>HYPERLINK("http://sofifa.com/en/fifa13winter/player/144379-simone-tiribocchi","S. Tiribocchi")</f>
        <v>S. Tiribocchi</v>
      </c>
      <c s="52" r="N403"/>
    </row>
    <row r="404">
      <c s="52" r="A404"/>
      <c s="52" r="B404"/>
      <c s="52" r="C404"/>
      <c s="52" r="D404"/>
      <c s="52" r="E404"/>
      <c s="52" r="F404"/>
      <c s="52" r="G404"/>
      <c s="52" r="H404"/>
      <c s="52" r="I404"/>
      <c s="52" r="J404"/>
      <c s="52" r="K404"/>
      <c s="52" r="L404"/>
      <c t="str" s="76" r="M404">
        <f>HYPERLINK("http://sofifa.com/en/fifa13winter/player/146946-sergio-diaz-alvarez","Sergio")</f>
        <v>Sergio</v>
      </c>
      <c s="52" r="N404"/>
    </row>
    <row r="405">
      <c s="52" r="A405"/>
      <c s="52" r="B405"/>
      <c s="52" r="C405"/>
      <c s="52" r="D405"/>
      <c s="52" r="E405"/>
      <c s="52" r="F405"/>
      <c s="52" r="G405"/>
      <c s="52" r="H405"/>
      <c s="52" r="I405"/>
      <c s="52" r="J405"/>
      <c s="52" r="K405"/>
      <c s="52" r="L405"/>
      <c t="str" s="76" r="M405">
        <f>HYPERLINK("http://sofifa.com/en/fifa13winter/player/148541-sidnei-rechel-da-silva-junior","Sidnei")</f>
        <v>Sidnei</v>
      </c>
      <c s="52" r="N405"/>
    </row>
    <row r="406">
      <c s="52" r="A406"/>
      <c s="52" r="B406"/>
      <c s="52" r="C406"/>
      <c s="52" r="D406"/>
      <c s="52" r="E406"/>
      <c s="52" r="F406"/>
      <c s="52" r="G406"/>
      <c s="52" r="H406"/>
      <c s="52" r="I406"/>
      <c s="52" r="J406"/>
      <c s="52" r="K406"/>
      <c s="52" r="L406"/>
      <c t="str" s="76" r="M406">
        <f>HYPERLINK("http://sofifa.com/en/fifa13winter/player/145873-rodrigo-de-souza-cardoso","Souza")</f>
        <v>Souza</v>
      </c>
      <c s="52" r="N406"/>
    </row>
    <row r="407">
      <c s="52" r="A407"/>
      <c s="52" r="B407"/>
      <c s="52" r="C407"/>
      <c s="52" r="D407"/>
      <c s="52" r="E407"/>
      <c s="52" r="F407"/>
      <c s="52" r="G407"/>
      <c s="52" r="H407"/>
      <c s="52" r="I407"/>
      <c s="52" r="J407"/>
      <c s="52" r="K407"/>
      <c s="52" r="L407"/>
      <c t="str" s="76" r="M407">
        <f>HYPERLINK("http://sofifa.com/en/fifa13winter/player/147647-steven-de-sousa-vitoria","Steven Vitória")</f>
        <v>Steven Vitória</v>
      </c>
      <c s="52" r="N407"/>
    </row>
    <row r="408">
      <c s="52" r="A408"/>
      <c s="52" r="B408"/>
      <c s="52" r="C408"/>
      <c s="52" r="D408"/>
      <c s="52" r="E408"/>
      <c s="52" r="F408"/>
      <c s="52" r="G408"/>
      <c s="52" r="H408"/>
      <c s="52" r="I408"/>
      <c s="52" r="J408"/>
      <c s="52" r="K408"/>
      <c s="52" r="L408"/>
      <c t="str" s="76" r="M408">
        <f>HYPERLINK("http://sofifa.com/en/fifa13winter/player/147090-tom-de-sutter","T. De Sutter")</f>
        <v>T. De Sutter</v>
      </c>
      <c s="52" r="N408"/>
    </row>
    <row r="409">
      <c s="52" r="A409"/>
      <c s="52" r="B409"/>
      <c s="52" r="C409"/>
      <c s="52" r="D409"/>
      <c s="52" r="E409"/>
      <c s="52" r="F409"/>
      <c s="52" r="G409"/>
      <c s="52" r="H409"/>
      <c s="52" r="I409"/>
      <c s="52" r="J409"/>
      <c s="52" r="K409"/>
      <c s="52" r="L409"/>
      <c t="str" s="76" r="M409">
        <f>HYPERLINK("http://sofifa.com/en/fifa13winter/player/147633-tom-huddlestone","T. Huddlestone")</f>
        <v>T. Huddlestone</v>
      </c>
      <c s="52" r="N409"/>
    </row>
    <row r="410">
      <c s="52" r="A410"/>
      <c s="52" r="B410"/>
      <c s="52" r="C410"/>
      <c s="52" r="D410"/>
      <c s="52" r="E410"/>
      <c s="52" r="F410"/>
      <c s="52" r="G410"/>
      <c s="52" r="H410"/>
      <c s="52" r="I410"/>
      <c s="52" r="J410"/>
      <c s="52" r="K410"/>
      <c s="52" r="L410"/>
      <c t="str" s="76" r="M410">
        <f>HYPERLINK("http://sofifa.com/en/fifa13winter/player/147157-tomasz-jodlowiec","T. Jodłowiec")</f>
        <v>T. Jodłowiec</v>
      </c>
      <c s="52" r="N410"/>
    </row>
    <row r="411">
      <c s="52" r="A411"/>
      <c s="52" r="B411"/>
      <c s="52" r="C411"/>
      <c s="52" r="D411"/>
      <c s="52" r="E411"/>
      <c s="52" r="F411"/>
      <c s="52" r="G411"/>
      <c s="52" r="H411"/>
      <c s="52" r="I411"/>
      <c s="52" r="J411"/>
      <c s="52" r="K411"/>
      <c s="52" r="L411"/>
      <c t="str" s="76" r="M411">
        <f>HYPERLINK("http://sofifa.com/en/fifa13winter/player/145883-thomas-paulus","T. Paulus")</f>
        <v>T. Paulus</v>
      </c>
      <c s="52" r="N411"/>
    </row>
    <row r="412">
      <c s="52" r="A412"/>
      <c s="52" r="B412"/>
      <c s="52" r="C412"/>
      <c s="52" r="D412"/>
      <c s="52" r="E412"/>
      <c s="52" r="F412"/>
      <c s="52" r="G412"/>
      <c s="52" r="H412"/>
      <c s="52" r="I412"/>
      <c s="52" r="J412"/>
      <c s="52" r="K412"/>
      <c s="52" r="L412"/>
      <c t="str" s="76" r="M412">
        <f>HYPERLINK("http://sofifa.com/en/fifa13winter/player/147412-thomas-phibel","T. Phibel")</f>
        <v>T. Phibel</v>
      </c>
      <c s="52" r="N412"/>
    </row>
    <row r="413">
      <c s="52" r="A413"/>
      <c s="52" r="B413"/>
      <c s="52" r="C413"/>
      <c s="52" r="D413"/>
      <c s="52" r="E413"/>
      <c s="52" r="F413"/>
      <c s="52" r="G413"/>
      <c s="52" r="H413"/>
      <c s="52" r="I413"/>
      <c s="52" r="J413"/>
      <c s="52" r="K413"/>
      <c s="52" r="L413"/>
      <c t="str" s="76" r="M413">
        <f>HYPERLINK("http://sofifa.com/en/fifa13winter/player/146255-tomislav-puljic","T. Puljic")</f>
        <v>T. Puljic</v>
      </c>
      <c s="52" r="N413"/>
    </row>
    <row r="414">
      <c s="52" r="A414"/>
      <c s="52" r="B414"/>
      <c s="52" r="C414"/>
      <c s="52" r="D414"/>
      <c s="52" r="E414"/>
      <c s="52" r="F414"/>
      <c s="52" r="G414"/>
      <c s="52" r="H414"/>
      <c s="52" r="I414"/>
      <c s="52" r="J414"/>
      <c s="52" r="K414"/>
      <c s="52" r="L414"/>
      <c t="str" s="76" r="M414">
        <f>HYPERLINK("http://sofifa.com/en/fifa13winter/player/147873-tom-soderberg","T. Söderberg")</f>
        <v>T. Söderberg</v>
      </c>
      <c s="52" r="N414"/>
    </row>
    <row r="415">
      <c s="52" r="A415"/>
      <c s="52" r="B415"/>
      <c s="52" r="C415"/>
      <c s="52" r="D415"/>
      <c s="52" r="E415"/>
      <c s="52" r="F415"/>
      <c s="52" r="G415"/>
      <c s="52" r="H415"/>
      <c s="52" r="I415"/>
      <c s="52" r="J415"/>
      <c s="52" r="K415"/>
      <c s="52" r="L415"/>
      <c t="str" s="76" r="M415">
        <f>HYPERLINK("http://sofifa.com/en/fifa13winter/player/148470-tony-tchani","T. Tchani")</f>
        <v>T. Tchani</v>
      </c>
      <c s="52" r="N415"/>
    </row>
    <row r="416">
      <c s="52" r="A416"/>
      <c s="52" r="B416"/>
      <c s="52" r="C416"/>
      <c s="52" r="D416"/>
      <c s="52" r="E416"/>
      <c s="52" r="F416"/>
      <c s="52" r="G416"/>
      <c s="52" r="H416"/>
      <c s="52" r="I416"/>
      <c s="52" r="J416"/>
      <c s="52" r="K416"/>
      <c s="52" r="L416"/>
      <c t="str" s="76" r="M416">
        <f>HYPERLINK("http://sofifa.com/en/fifa13winter/player/148073-cristian-chagas-tarouco","Titi")</f>
        <v>Titi</v>
      </c>
      <c s="52" r="N416"/>
    </row>
    <row r="417">
      <c s="52" r="A417"/>
      <c s="52" r="B417"/>
      <c s="52" r="C417"/>
      <c s="52" r="D417"/>
      <c s="52" r="E417"/>
      <c s="52" r="F417"/>
      <c s="52" r="G417"/>
      <c s="52" r="H417"/>
      <c s="52" r="I417"/>
      <c s="52" r="J417"/>
      <c s="52" r="K417"/>
      <c s="52" r="L417"/>
      <c t="str" s="76" r="M417">
        <f>HYPERLINK("http://sofifa.com/en/fifa13winter/player/146937-tulio-vinicius-froes-de-melo","Tulio de Melo")</f>
        <v>Tulio de Melo</v>
      </c>
      <c s="52" r="N417"/>
    </row>
    <row r="418">
      <c s="52" r="A418"/>
      <c s="52" r="B418"/>
      <c s="52" r="C418"/>
      <c s="52" r="D418"/>
      <c s="52" r="E418"/>
      <c s="52" r="F418"/>
      <c s="52" r="G418"/>
      <c s="52" r="H418"/>
      <c s="52" r="I418"/>
      <c s="52" r="J418"/>
      <c s="52" r="K418"/>
      <c s="52" r="L418"/>
      <c t="str" s="76" r="M418">
        <f>HYPERLINK("http://sofifa.com/en/fifa13winter/player/146558-ugochukwu-ukah","U. Ukah")</f>
        <v>U. Ukah</v>
      </c>
      <c s="52" r="N418"/>
    </row>
    <row r="419">
      <c s="52" r="A419"/>
      <c s="52" r="B419"/>
      <c s="52" r="C419"/>
      <c s="52" r="D419"/>
      <c s="52" r="E419"/>
      <c s="52" r="F419"/>
      <c s="52" r="G419"/>
      <c s="52" r="H419"/>
      <c s="52" r="I419"/>
      <c s="52" r="J419"/>
      <c s="52" r="K419"/>
      <c s="52" r="L419"/>
      <c t="str" s="76" r="M419">
        <f>HYPERLINK("http://sofifa.com/en/fifa13winter/player/147768-urko-vera-mateos","Urko Vera")</f>
        <v>Urko Vera</v>
      </c>
      <c s="52" r="N419"/>
    </row>
    <row r="420">
      <c s="52" r="A420"/>
      <c s="52" r="B420"/>
      <c s="52" r="C420"/>
      <c s="52" r="D420"/>
      <c s="52" r="E420"/>
      <c s="52" r="F420"/>
      <c s="52" r="G420"/>
      <c s="52" r="H420"/>
      <c s="52" r="I420"/>
      <c s="52" r="J420"/>
      <c s="52" r="K420"/>
      <c s="52" r="L420"/>
      <c t="str" s="76" r="M420">
        <f>HYPERLINK("http://sofifa.com/en/fifa13winter/player/145745-volkan-demirel","V. Demirel")</f>
        <v>V. Demirel</v>
      </c>
      <c s="52" r="N420"/>
    </row>
    <row r="421">
      <c s="52" r="A421"/>
      <c s="52" r="B421"/>
      <c s="52" r="C421"/>
      <c s="52" r="D421"/>
      <c s="52" r="E421"/>
      <c s="52" r="F421"/>
      <c s="52" r="G421"/>
      <c s="52" r="H421"/>
      <c s="52" r="I421"/>
      <c s="52" r="J421"/>
      <c s="52" r="K421"/>
      <c s="52" r="L421"/>
      <c t="str" s="76" r="M421">
        <f>HYPERLINK("http://sofifa.com/en/fifa13winter/player/147371-vincent-kompany","V. Kompany")</f>
        <v>V. Kompany</v>
      </c>
      <c s="52" r="N421"/>
    </row>
    <row r="422">
      <c s="52" r="A422"/>
      <c s="52" r="B422"/>
      <c s="52" r="C422"/>
      <c s="52" r="D422"/>
      <c s="52" r="E422"/>
      <c s="52" r="F422"/>
      <c s="52" r="G422"/>
      <c s="52" r="H422"/>
      <c s="52" r="I422"/>
      <c s="52" r="J422"/>
      <c s="52" r="K422"/>
      <c s="52" r="L422"/>
      <c t="str" s="76" r="M422">
        <f>HYPERLINK("http://sofifa.com/en/fifa13winter/player/146860-valdo-larrondo","V. Larrondo")</f>
        <v>V. Larrondo</v>
      </c>
      <c s="52" r="N422"/>
    </row>
    <row r="423">
      <c s="52" r="A423"/>
      <c s="52" r="B423"/>
      <c s="52" r="C423"/>
      <c s="52" r="D423"/>
      <c s="52" r="E423"/>
      <c s="52" r="F423"/>
      <c s="52" r="G423"/>
      <c s="52" r="H423"/>
      <c s="52" r="I423"/>
      <c s="52" r="J423"/>
      <c s="52" r="K423"/>
      <c s="52" r="L423"/>
      <c t="str" s="76" r="M423">
        <f>HYPERLINK("http://sofifa.com/en/fifa13winter/player/149286-virgil-van-dijk","V. van Dijk")</f>
        <v>V. van Dijk</v>
      </c>
      <c s="52" r="N423"/>
    </row>
    <row r="424">
      <c s="52" r="A424"/>
      <c s="52" r="B424"/>
      <c s="52" r="C424"/>
      <c s="52" r="D424"/>
      <c s="52" r="E424"/>
      <c s="52" r="F424"/>
      <c s="52" r="G424"/>
      <c s="52" r="H424"/>
      <c s="52" r="I424"/>
      <c s="52" r="J424"/>
      <c s="52" r="K424"/>
      <c s="52" r="L424"/>
      <c t="str" s="76" r="M424">
        <f>HYPERLINK("http://sofifa.com/en/fifa13winter/player/144751-valdomiro-duarte-de-macedo","Valdomiro")</f>
        <v>Valdomiro</v>
      </c>
      <c s="52" r="N424"/>
    </row>
    <row r="425">
      <c s="52" r="A425"/>
      <c s="52" r="B425"/>
      <c s="52" r="C425"/>
      <c s="52" r="D425"/>
      <c s="52" r="E425"/>
      <c s="52" r="F425"/>
      <c s="52" r="G425"/>
      <c s="52" r="H425"/>
      <c s="52" r="I425"/>
      <c s="52" r="J425"/>
      <c s="52" r="K425"/>
      <c s="52" r="L425"/>
      <c t="str" s="76" r="M425">
        <f>HYPERLINK("http://sofifa.com/en/fifa13winter/player/148348-wilfried-bony","W. Bony")</f>
        <v>W. Bony</v>
      </c>
      <c s="52" r="N425"/>
    </row>
    <row r="426">
      <c s="52" r="A426"/>
      <c s="52" r="B426"/>
      <c s="52" r="C426"/>
      <c s="52" r="D426"/>
      <c s="52" r="E426"/>
      <c s="52" r="F426"/>
      <c s="52" r="G426"/>
      <c s="52" r="H426"/>
      <c s="52" r="I426"/>
      <c s="52" r="J426"/>
      <c s="52" r="K426"/>
      <c s="52" r="L426"/>
      <c t="str" s="76" r="M426">
        <f>HYPERLINK("http://sofifa.com/en/fifa13winter/player/146793-william-jidayi","W. Jidayi")</f>
        <v>W. Jidayi</v>
      </c>
      <c s="52" r="N426"/>
    </row>
    <row r="427">
      <c s="52" r="A427"/>
      <c s="52" r="B427"/>
      <c s="52" r="C427"/>
      <c s="52" r="D427"/>
      <c s="52" r="E427"/>
      <c s="52" r="F427"/>
      <c s="52" r="G427"/>
      <c s="52" r="H427"/>
      <c s="52" r="I427"/>
      <c s="52" r="J427"/>
      <c s="52" r="K427"/>
      <c s="52" r="L427"/>
      <c t="str" s="76" r="M427">
        <f>HYPERLINK("http://sofifa.com/en/fifa13winter/player/146561-wes-morgan","W. Morgan")</f>
        <v>W. Morgan</v>
      </c>
      <c s="52" r="N427"/>
    </row>
    <row r="428">
      <c s="52" r="A428"/>
      <c s="52" r="B428"/>
      <c s="52" r="C428"/>
      <c s="52" r="D428"/>
      <c s="52" r="E428"/>
      <c s="52" r="F428"/>
      <c s="52" r="G428"/>
      <c s="52" r="H428"/>
      <c s="52" r="I428"/>
      <c s="52" r="J428"/>
      <c s="52" r="K428"/>
      <c s="52" r="L428"/>
      <c t="str" s="76" r="M428">
        <f>HYPERLINK("http://sofifa.com/en/fifa13winter/player/144431-walter-samuel","W. Samuel")</f>
        <v>W. Samuel</v>
      </c>
      <c s="52" r="N428"/>
    </row>
    <row r="429">
      <c s="52" r="A429"/>
      <c s="52" r="B429"/>
      <c s="52" r="C429"/>
      <c s="52" r="D429"/>
      <c s="52" r="E429"/>
      <c s="52" r="F429"/>
      <c s="52" r="G429"/>
      <c s="52" r="H429"/>
      <c s="52" r="I429"/>
      <c s="52" r="J429"/>
      <c s="52" r="K429"/>
      <c s="52" r="L429"/>
      <c t="str" s="76" r="M429">
        <f>HYPERLINK("http://sofifa.com/en/fifa13winter/player/148055-alexandre-luiz-reame","Xandão")</f>
        <v>Xandão</v>
      </c>
      <c s="52" r="N429"/>
    </row>
    <row r="430">
      <c s="52" r="A430"/>
      <c s="52" r="B430"/>
      <c s="52" r="C430"/>
      <c s="52" r="D430"/>
      <c s="52" r="E430"/>
      <c s="52" r="F430"/>
      <c s="52" r="G430"/>
      <c s="52" r="H430"/>
      <c s="52" r="I430"/>
      <c s="52" r="J430"/>
      <c s="52" r="K430"/>
      <c s="52" r="L430"/>
      <c t="str" s="76" r="M430">
        <f>HYPERLINK("http://sofifa.com/en/fifa13winter/player/147275-younes-kaboul","Y. Kaboul")</f>
        <v>Y. Kaboul</v>
      </c>
      <c s="52" r="N430"/>
    </row>
    <row r="431">
      <c s="52" r="A431"/>
      <c s="52" r="B431"/>
      <c s="52" r="C431"/>
      <c s="52" r="D431"/>
      <c s="52" r="E431"/>
      <c s="52" r="F431"/>
      <c s="52" r="G431"/>
      <c s="52" r="H431"/>
      <c s="52" r="I431"/>
      <c s="52" r="J431"/>
      <c s="52" r="K431"/>
      <c s="52" r="L431"/>
      <c t="str" s="76" r="M431">
        <f>HYPERLINK("http://sofifa.com/en/fifa13winter/player/146308-yaya-toure","Y. Touré")</f>
        <v>Y. Touré</v>
      </c>
      <c s="52" r="N431"/>
    </row>
    <row r="432">
      <c s="52" r="A432"/>
      <c s="52" r="B432"/>
      <c s="52" r="C432"/>
      <c s="52" r="D432"/>
      <c s="52" r="E432"/>
      <c s="52" r="F432"/>
      <c s="52" r="G432"/>
      <c s="52" r="H432"/>
      <c s="52" r="I432"/>
      <c s="52" r="J432"/>
      <c s="52" r="K432"/>
      <c s="52" r="L432"/>
      <c t="str" s="76" r="M432">
        <f>HYPERLINK("http://sofifa.com/en/fifa13winter/player/148075-jong-hyun-yoo","Yoo Jong Hyun")</f>
        <v>Yoo Jong Hyun</v>
      </c>
      <c s="52" r="N432"/>
    </row>
    <row r="433">
      <c s="52" r="A433"/>
      <c s="52" r="B433"/>
      <c s="52" r="C433"/>
      <c s="52" r="D433"/>
      <c s="52" r="E433"/>
      <c s="52" r="F433"/>
      <c s="52" r="G433"/>
      <c s="52" r="H433"/>
      <c s="52" r="I433"/>
      <c s="52" r="J433"/>
      <c s="52" r="K433"/>
      <c s="52" r="L433"/>
      <c t="str" s="76" r="M433">
        <f>HYPERLINK("http://sofifa.com/en/fifa13winter/player/144576-kyoung-youl-you","You Kyoung Youl")</f>
        <v>You Kyoung Youl</v>
      </c>
      <c s="52" r="N433"/>
    </row>
    <row r="434">
      <c s="52" r="A434"/>
      <c s="52" r="B434"/>
      <c s="52" r="C434"/>
      <c s="52" r="D434"/>
      <c s="52" r="E434"/>
      <c s="52" r="F434"/>
      <c s="52" r="G434"/>
      <c s="52" r="H434"/>
      <c s="52" r="I434"/>
      <c s="52" r="J434"/>
      <c s="52" r="K434"/>
      <c s="52" r="L434"/>
      <c t="str" s="76" r="M434">
        <f>HYPERLINK("http://sofifa.com/en/fifa13winter/player/148453-dong-min-yu","Yu Dong Min")</f>
        <v>Yu Dong Min</v>
      </c>
      <c s="52" r="N434"/>
    </row>
    <row r="435">
      <c s="52" r="A435"/>
      <c s="52" r="B435"/>
      <c s="52" r="C435"/>
      <c s="52" r="D435"/>
      <c s="52" r="E435"/>
      <c s="52" r="F435"/>
      <c s="52" r="G435"/>
      <c s="52" r="H435"/>
      <c s="52" r="I435"/>
      <c s="52" r="J435"/>
      <c s="52" r="K435"/>
      <c s="52" r="L435"/>
      <c t="str" s="76" r="M435">
        <f>HYPERLINK("http://sofifa.com/en/fifa13winter/player/148279-young-sun-yun","Yun Young Sun")</f>
        <v>Yun Young Sun</v>
      </c>
      <c s="52" r="N435"/>
    </row>
    <row r="436">
      <c s="52" r="A436"/>
      <c s="52" r="B436"/>
      <c s="52" r="C436"/>
      <c s="52" r="D436"/>
      <c s="52" r="E436"/>
      <c s="52" r="F436"/>
      <c s="52" r="G436"/>
      <c s="52" r="H436"/>
      <c s="52" r="I436"/>
      <c s="52" r="J436"/>
      <c s="52" r="K436"/>
      <c s="52" r="L436"/>
      <c t="str" s="76" r="M436">
        <f>HYPERLINK("http://sofifa.com/en/fifa13winter/player/149217-zachary-anderson","Z. Anderson")</f>
        <v>Z. Anderson</v>
      </c>
      <c s="52" r="N436"/>
    </row>
    <row r="437">
      <c s="52" r="A437"/>
      <c s="52" r="B437"/>
      <c s="52" r="C437"/>
      <c s="52" r="D437"/>
      <c s="52" r="E437"/>
      <c s="52" r="F437"/>
      <c s="52" r="G437"/>
      <c s="52" r="H437"/>
      <c s="52" r="I437"/>
      <c s="52" r="J437"/>
      <c s="52" r="K437"/>
      <c s="52" r="L437"/>
      <c t="str" s="76" r="M437">
        <f>HYPERLINK("http://sofifa.com/en/fifa13winter/player/145940-zeljko-dokic","Z. Đokić")</f>
        <v>Z. Đokić</v>
      </c>
      <c s="52" r="N437"/>
    </row>
    <row r="438">
      <c s="52" r="A438"/>
      <c s="52" r="B438"/>
      <c s="52" r="C438"/>
      <c s="52" r="D438"/>
      <c s="52" r="E438"/>
      <c s="52" r="F438"/>
      <c s="52" r="G438"/>
      <c s="52" r="H438"/>
      <c s="52" r="I438"/>
      <c s="52" r="J438"/>
      <c s="52" r="K438"/>
      <c s="52" r="L438"/>
      <c t="str" s="76" r="M438">
        <f>HYPERLINK("http://sofifa.com/en/fifa13winter/player/145721-zlatan-ibrahimovic","Z. Ibrahimović")</f>
        <v>Z. Ibrahimović</v>
      </c>
      <c s="52" r="N438"/>
    </row>
    <row r="439">
      <c s="52" r="A439"/>
      <c s="52" r="B439"/>
      <c s="52" r="C439"/>
      <c s="52" r="D439"/>
      <c s="52" r="E439"/>
      <c s="52" r="F439"/>
      <c s="52" r="G439"/>
      <c s="52" r="H439"/>
      <c s="52" r="I439"/>
      <c s="52" r="J439"/>
      <c s="52" r="K439"/>
      <c s="52" r="L439"/>
      <c t="str" s="76" r="M439">
        <f>HYPERLINK("http://sofifa.com/en/fifa13winter/player/145202-zat-knight","Z. Knight")</f>
        <v>Z. Knight</v>
      </c>
      <c s="52" r="N439"/>
    </row>
  </sheetData>
</worksheet>
</file>