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Finances" state="visible" r:id="rId3"/>
    <sheet sheetId="2" name="Rosters" state="visible" r:id="rId4"/>
  </sheets>
  <definedNames/>
  <calcPr/>
</workbook>
</file>

<file path=xl/sharedStrings.xml><?xml version="1.0" encoding="utf-8"?>
<sst xmlns="http://schemas.openxmlformats.org/spreadsheetml/2006/main" count="4042" uniqueCount="113">
  <si>
    <t>Budget</t>
  </si>
  <si>
    <t>Budget Increase (Perk)</t>
  </si>
  <si>
    <t>Spent</t>
  </si>
  <si>
    <t>Made</t>
  </si>
  <si>
    <t>Rem</t>
  </si>
  <si>
    <t>NON FTL</t>
  </si>
  <si>
    <t>Manager</t>
  </si>
  <si>
    <t>Team</t>
  </si>
  <si>
    <t>No </t>
  </si>
  <si>
    <t>Transfer</t>
  </si>
  <si>
    <t>Wage</t>
  </si>
  <si>
    <t>%</t>
  </si>
  <si>
    <t>Perk +</t>
  </si>
  <si>
    <t>Avail</t>
  </si>
  <si>
    <t>Used</t>
  </si>
  <si>
    <t>Alfromsleep</t>
  </si>
  <si>
    <t>Chelsea</t>
  </si>
  <si>
    <t>Pants</t>
  </si>
  <si>
    <t>Man City</t>
  </si>
  <si>
    <t>tomakasatnav</t>
  </si>
  <si>
    <t>Arsenal</t>
  </si>
  <si>
    <t>Andy S</t>
  </si>
  <si>
    <t>Man Utd</t>
  </si>
  <si>
    <t>Wincho</t>
  </si>
  <si>
    <t>Liverpool</t>
  </si>
  <si>
    <t>Tomox</t>
  </si>
  <si>
    <t>Spurs</t>
  </si>
  <si>
    <t>Keiths_dad</t>
  </si>
  <si>
    <t>Newcastle</t>
  </si>
  <si>
    <t>Cary</t>
  </si>
  <si>
    <t>Aston Villa</t>
  </si>
  <si>
    <t>Manic</t>
  </si>
  <si>
    <t>Everton</t>
  </si>
  <si>
    <t>Mardigan</t>
  </si>
  <si>
    <t>Fulham</t>
  </si>
  <si>
    <t>Baring</t>
  </si>
  <si>
    <t>Swansea</t>
  </si>
  <si>
    <t>XYZgames</t>
  </si>
  <si>
    <t>Southampton</t>
  </si>
  <si>
    <t>Sith</t>
  </si>
  <si>
    <t>Stoke</t>
  </si>
  <si>
    <t>Pompey</t>
  </si>
  <si>
    <t>West Brom</t>
  </si>
  <si>
    <t>Timmo</t>
  </si>
  <si>
    <t>Sunderland</t>
  </si>
  <si>
    <t>Graham</t>
  </si>
  <si>
    <t>West Ham</t>
  </si>
  <si>
    <t>Roca</t>
  </si>
  <si>
    <t>Norwich</t>
  </si>
  <si>
    <t>Steely</t>
  </si>
  <si>
    <t>Crystal Palace</t>
  </si>
  <si>
    <t>Joe</t>
  </si>
  <si>
    <t>Cardiff</t>
  </si>
  <si>
    <t>Jamin</t>
  </si>
  <si>
    <t>Hull</t>
  </si>
  <si>
    <t>Key</t>
  </si>
  <si>
    <t>No</t>
  </si>
  <si>
    <t>Starting</t>
  </si>
  <si>
    <t>New</t>
  </si>
  <si>
    <t>Current</t>
  </si>
  <si>
    <t>Nation</t>
  </si>
  <si>
    <t>Player Name</t>
  </si>
  <si>
    <t>Ovr</t>
  </si>
  <si>
    <t>Pos</t>
  </si>
  <si>
    <t>Height</t>
  </si>
  <si>
    <t>Age</t>
  </si>
  <si>
    <t>Value</t>
  </si>
  <si>
    <t>For</t>
  </si>
  <si>
    <t>Newage</t>
  </si>
  <si>
    <t>Injured</t>
  </si>
  <si>
    <t>GK</t>
  </si>
  <si>
    <t>6'5"</t>
  </si>
  <si>
    <t>RB</t>
  </si>
  <si>
    <t>6'1"</t>
  </si>
  <si>
    <t>RCB</t>
  </si>
  <si>
    <t>CB</t>
  </si>
  <si>
    <t>6'6"</t>
  </si>
  <si>
    <t>LCB</t>
  </si>
  <si>
    <t>LB</t>
  </si>
  <si>
    <t>5'11"</t>
  </si>
  <si>
    <t>RDM</t>
  </si>
  <si>
    <t>CM</t>
  </si>
  <si>
    <t>5'10"</t>
  </si>
  <si>
    <t>LDM</t>
  </si>
  <si>
    <t>RM</t>
  </si>
  <si>
    <t>RW</t>
  </si>
  <si>
    <t>5'8"</t>
  </si>
  <si>
    <t>LM</t>
  </si>
  <si>
    <t>CAM</t>
  </si>
  <si>
    <t>6'0"</t>
  </si>
  <si>
    <t>ST</t>
  </si>
  <si>
    <t>6'4"</t>
  </si>
  <si>
    <t>SUB</t>
  </si>
  <si>
    <t>5'6"</t>
  </si>
  <si>
    <t>5'9"</t>
  </si>
  <si>
    <t>6'3"</t>
  </si>
  <si>
    <t>LW</t>
  </si>
  <si>
    <t>RES</t>
  </si>
  <si>
    <t>CDM</t>
  </si>
  <si>
    <t>6'2"</t>
  </si>
  <si>
    <t>RWB</t>
  </si>
  <si>
    <t>LWB</t>
  </si>
  <si>
    <t>RCM</t>
  </si>
  <si>
    <t>LCM</t>
  </si>
  <si>
    <t>RS</t>
  </si>
  <si>
    <t>LS</t>
  </si>
  <si>
    <t>5'7"</t>
  </si>
  <si>
    <t>5'4"</t>
  </si>
  <si>
    <t>CF</t>
  </si>
  <si>
    <t>6'8"</t>
  </si>
  <si>
    <t>5'5"</t>
  </si>
  <si>
    <t>6'7"</t>
  </si>
  <si>
    <t>5'3"</t>
  </si>
</sst>
</file>

<file path=xl/styles.xml><?xml version="1.0" encoding="utf-8"?>
<styleSheet xmlns="http://schemas.openxmlformats.org/spreadsheetml/2006/main" xmlns:x14ac="http://schemas.microsoft.com/office/spreadsheetml/2009/9/ac" xmlns:mc="http://schemas.openxmlformats.org/markup-compatibility/2006">
  <numFmts count="14">
    <numFmt numFmtId="164" formatCode="0.0"/>
    <numFmt numFmtId="165" formatCode="0.000"/>
    <numFmt numFmtId="166" formatCode="0.000"/>
    <numFmt numFmtId="167" formatCode="0.000"/>
    <numFmt numFmtId="168" formatCode="0.0"/>
    <numFmt numFmtId="169" formatCode="0.000"/>
    <numFmt numFmtId="170" formatCode="0.0"/>
    <numFmt numFmtId="171" formatCode="0.000"/>
    <numFmt numFmtId="172" formatCode="0.0"/>
    <numFmt numFmtId="173" formatCode="0.0"/>
    <numFmt numFmtId="174" formatCode="0.000"/>
    <numFmt numFmtId="175" formatCode="0.0"/>
    <numFmt numFmtId="176" formatCode="0.000"/>
    <numFmt numFmtId="177" formatCode="0.0"/>
  </numFmts>
  <fonts count="44">
    <font>
      <b val="0"/>
      <i val="0"/>
      <strike val="0"/>
      <u val="none"/>
      <sz val="10.0"/>
      <color rgb="FF000000"/>
      <name val="Arial"/>
    </font>
    <font>
      <b/>
      <i val="0"/>
      <strike val="0"/>
      <u val="none"/>
      <sz val="11.0"/>
      <color rgb="FF00B050"/>
      <name val="Calibri"/>
    </font>
    <font>
      <b/>
      <i val="0"/>
      <strike val="0"/>
      <u val="none"/>
      <sz val="10.0"/>
      <color rgb="FF000000"/>
      <name val="Arial"/>
    </font>
    <font>
      <b/>
      <i val="0"/>
      <strike val="0"/>
      <u val="none"/>
      <sz val="10.0"/>
      <color rgb="FF000000"/>
      <name val="Arial"/>
    </font>
    <font>
      <b val="0"/>
      <i val="0"/>
      <strike val="0"/>
      <u val="none"/>
      <sz val="11.0"/>
      <color rgb="FF000000"/>
      <name val="Calibri"/>
    </font>
    <font>
      <b/>
      <i val="0"/>
      <strike val="0"/>
      <u val="none"/>
      <sz val="10.0"/>
      <color rgb="FF000000"/>
      <name val="Arial"/>
    </font>
    <font>
      <b val="0"/>
      <i val="0"/>
      <strike val="0"/>
      <u val="none"/>
      <sz val="10.0"/>
      <color rgb="FF000000"/>
      <name val="Arial"/>
    </font>
    <font>
      <b/>
      <i val="0"/>
      <strike val="0"/>
      <u val="none"/>
      <sz val="11.0"/>
      <color rgb="FF000000"/>
      <name val="Calibri"/>
    </font>
    <font>
      <b val="0"/>
      <i val="0"/>
      <strike val="0"/>
      <u val="none"/>
      <sz val="11.0"/>
      <color rgb="FF000000"/>
      <name val="Calibri"/>
    </font>
    <font>
      <b val="0"/>
      <i val="0"/>
      <strike val="0"/>
      <u val="none"/>
      <sz val="10.0"/>
      <color rgb="FF000000"/>
      <name val="Arial"/>
    </font>
    <font>
      <b/>
      <i val="0"/>
      <strike val="0"/>
      <u val="none"/>
      <sz val="10.0"/>
      <color rgb="FF000000"/>
      <name val="Arial"/>
    </font>
    <font>
      <b val="0"/>
      <i val="0"/>
      <strike val="0"/>
      <u/>
      <sz val="10.0"/>
      <color rgb="FF0000FF"/>
      <name val="Arial"/>
    </font>
    <font>
      <b val="0"/>
      <i val="0"/>
      <strike val="0"/>
      <u val="none"/>
      <sz val="11.0"/>
      <color rgb="FF000000"/>
      <name val="Calibri"/>
    </font>
    <font>
      <b/>
      <i val="0"/>
      <strike val="0"/>
      <u val="none"/>
      <sz val="10.0"/>
      <color rgb="FF000000"/>
      <name val="Arial"/>
    </font>
    <font>
      <b/>
      <i val="0"/>
      <strike val="0"/>
      <u val="none"/>
      <sz val="10.0"/>
      <color rgb="FF000000"/>
      <name val="Arial"/>
    </font>
    <font>
      <b/>
      <i val="0"/>
      <strike val="0"/>
      <u val="none"/>
      <sz val="11.0"/>
      <color rgb="FF000000"/>
      <name val="Calibri"/>
    </font>
    <font>
      <b/>
      <i val="0"/>
      <strike val="0"/>
      <u val="none"/>
      <sz val="11.0"/>
      <color rgb="FF000000"/>
      <name val="Calibri"/>
    </font>
    <font>
      <b/>
      <i val="0"/>
      <strike val="0"/>
      <u val="none"/>
      <sz val="11.0"/>
      <color rgb="FFFF0000"/>
      <name val="Calibri"/>
    </font>
    <font>
      <b/>
      <i val="0"/>
      <strike val="0"/>
      <u val="none"/>
      <sz val="11.0"/>
      <color rgb="FF000000"/>
      <name val="Calibri"/>
    </font>
    <font>
      <b val="0"/>
      <i val="0"/>
      <strike val="0"/>
      <u val="none"/>
      <sz val="11.0"/>
      <color rgb="FF000000"/>
      <name val="Calibri"/>
    </font>
    <font>
      <b/>
      <i val="0"/>
      <strike val="0"/>
      <u val="none"/>
      <sz val="11.0"/>
      <color rgb="FF00B050"/>
      <name val="Calibri"/>
    </font>
    <font>
      <b val="0"/>
      <i val="0"/>
      <strike val="0"/>
      <u val="none"/>
      <sz val="11.0"/>
      <color rgb="FF000000"/>
      <name val="Calibri"/>
    </font>
    <font>
      <b/>
      <i val="0"/>
      <strike val="0"/>
      <u val="none"/>
      <sz val="10.0"/>
      <color rgb="FF000000"/>
      <name val="Arial"/>
    </font>
    <font>
      <b/>
      <i val="0"/>
      <strike val="0"/>
      <u val="none"/>
      <sz val="11.0"/>
      <color rgb="FF000000"/>
      <name val="Calibri"/>
    </font>
    <font>
      <b/>
      <i val="0"/>
      <strike val="0"/>
      <u val="none"/>
      <sz val="11.0"/>
      <color rgb="FF000000"/>
      <name val="Calibri"/>
    </font>
    <font>
      <b val="0"/>
      <i val="0"/>
      <strike val="0"/>
      <u val="none"/>
      <sz val="11.0"/>
      <color rgb="FF000000"/>
      <name val="Calibri"/>
    </font>
    <font>
      <b/>
      <i val="0"/>
      <strike val="0"/>
      <u val="none"/>
      <sz val="10.0"/>
      <color rgb="FF000000"/>
      <name val="Arial"/>
    </font>
    <font>
      <b/>
      <i val="0"/>
      <strike val="0"/>
      <u val="none"/>
      <sz val="11.0"/>
      <color rgb="FF000000"/>
      <name val="Calibri"/>
    </font>
    <font>
      <b val="0"/>
      <i val="0"/>
      <strike val="0"/>
      <u val="none"/>
      <sz val="10.0"/>
      <color rgb="FF000000"/>
      <name val="Arial"/>
    </font>
    <font>
      <b/>
      <i val="0"/>
      <strike val="0"/>
      <u val="none"/>
      <sz val="11.0"/>
      <color rgb="FFFF0000"/>
      <name val="Calibri"/>
    </font>
    <font>
      <b val="0"/>
      <i val="0"/>
      <strike val="0"/>
      <u/>
      <sz val="11.0"/>
      <color rgb="FF0000FF"/>
      <name val="Calibri"/>
    </font>
    <font>
      <b val="0"/>
      <i val="0"/>
      <strike val="0"/>
      <u val="none"/>
      <sz val="11.0"/>
      <color rgb="FF000000"/>
      <name val="Calibri"/>
    </font>
    <font>
      <b/>
      <i val="0"/>
      <strike val="0"/>
      <u val="none"/>
      <sz val="11.0"/>
      <color rgb="FF00B050"/>
      <name val="Calibri"/>
    </font>
    <font>
      <b val="0"/>
      <i val="0"/>
      <strike val="0"/>
      <u val="none"/>
      <sz val="11.0"/>
      <color rgb="FF000000"/>
      <name val="Calibri"/>
    </font>
    <font>
      <b/>
      <i val="0"/>
      <strike val="0"/>
      <u val="none"/>
      <sz val="11.0"/>
      <color rgb="FFC00000"/>
      <name val="Calibri"/>
    </font>
    <font>
      <b val="0"/>
      <i val="0"/>
      <strike val="0"/>
      <u val="none"/>
      <sz val="11.0"/>
      <color rgb="FF000000"/>
      <name val="Calibri"/>
    </font>
    <font>
      <b/>
      <i val="0"/>
      <strike val="0"/>
      <u val="none"/>
      <sz val="10.0"/>
      <color rgb="FF000000"/>
      <name val="Arial"/>
    </font>
    <font>
      <b/>
      <i val="0"/>
      <strike val="0"/>
      <u val="none"/>
      <sz val="10.0"/>
      <color rgb="FF000000"/>
      <name val="Arial"/>
    </font>
    <font>
      <b val="0"/>
      <i val="0"/>
      <strike val="0"/>
      <u val="none"/>
      <sz val="11.0"/>
      <color rgb="FF000000"/>
      <name val="Calibri"/>
    </font>
    <font>
      <b val="0"/>
      <i val="0"/>
      <strike val="0"/>
      <u val="none"/>
      <sz val="11.0"/>
      <color rgb="FF000000"/>
      <name val="Calibri"/>
    </font>
    <font>
      <b/>
      <i val="0"/>
      <strike val="0"/>
      <u val="none"/>
      <sz val="10.0"/>
      <color rgb="FF000000"/>
      <name val="Arial"/>
    </font>
    <font>
      <b val="0"/>
      <i val="0"/>
      <strike val="0"/>
      <u val="none"/>
      <sz val="10.0"/>
      <color rgb="FF000000"/>
      <name val="Arial"/>
    </font>
    <font>
      <b val="0"/>
      <i val="0"/>
      <strike val="0"/>
      <u val="none"/>
      <sz val="11.0"/>
      <color rgb="FF000000"/>
      <name val="Calibri"/>
    </font>
    <font>
      <b/>
      <i val="0"/>
      <strike val="0"/>
      <u val="none"/>
      <sz val="11.0"/>
      <color rgb="FF000000"/>
      <name val="Calibri"/>
    </font>
  </fonts>
  <fills count="18">
    <fill>
      <patternFill patternType="none"/>
    </fill>
    <fill>
      <patternFill patternType="gray125">
        <bgColor rgb="FFFFFFFF"/>
      </patternFill>
    </fill>
    <fill>
      <patternFill patternType="solid">
        <fgColor rgb="FFD8D8D8"/>
        <bgColor indexed="64"/>
      </patternFill>
    </fill>
    <fill>
      <patternFill patternType="solid">
        <fgColor rgb="FFD8D8D8"/>
        <bgColor indexed="64"/>
      </patternFill>
    </fill>
    <fill>
      <patternFill patternType="solid">
        <fgColor rgb="FFE5B8B7"/>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fillId="0" numFmtId="0" borderId="0" fontId="0"/>
  </cellStyleXfs>
  <cellXfs count="44">
    <xf applyAlignment="1" fillId="0" xfId="0" numFmtId="0" borderId="0" fontId="0">
      <alignment vertical="bottom" horizontal="general" wrapText="1"/>
    </xf>
    <xf applyBorder="1" fillId="0" xfId="0" numFmtId="164" borderId="1" applyFont="1" fontId="1" applyNumberFormat="1"/>
    <xf applyBorder="1" applyAlignment="1" fillId="2" xfId="0" numFmtId="165" borderId="2" applyFont="1" fontId="2" applyNumberFormat="1" applyFill="1">
      <alignment vertical="bottom" horizontal="center"/>
    </xf>
    <xf applyBorder="1" fillId="3" xfId="0" numFmtId="0" borderId="3" applyFont="1" fontId="3" applyFill="1"/>
    <xf applyBorder="1" fillId="0" xfId="0" numFmtId="0" borderId="4" applyFont="1" fontId="4"/>
    <xf fillId="0" xfId="0" numFmtId="0" borderId="0" applyFont="1" fontId="5"/>
    <xf applyBorder="1" applyAlignment="1" fillId="0" xfId="0" numFmtId="0" borderId="5" applyFont="1" fontId="6">
      <alignment vertical="bottom" horizontal="general" wrapText="1"/>
    </xf>
    <xf applyBorder="1" fillId="0" xfId="0" numFmtId="166" borderId="6" applyFont="1" fontId="7" applyNumberFormat="1"/>
    <xf fillId="4" xfId="0" numFmtId="0" borderId="0" applyFont="1" fontId="8" applyFill="1"/>
    <xf fillId="0" xfId="0" numFmtId="0" borderId="0" applyFont="1" fontId="9"/>
    <xf fillId="5" xfId="0" numFmtId="0" borderId="0" applyFont="1" fontId="10" applyFill="1"/>
    <xf applyAlignment="1" fillId="0" xfId="0" numFmtId="0" borderId="0" applyFont="1" fontId="11">
      <alignment vertical="bottom" horizontal="general" wrapText="1"/>
    </xf>
    <xf fillId="0" xfId="0" numFmtId="167" borderId="0" applyFont="1" fontId="12" applyNumberFormat="1"/>
    <xf applyBorder="1" fillId="6" xfId="0" numFmtId="1" borderId="7" applyFont="1" fontId="13" applyNumberFormat="1" applyFill="1"/>
    <xf applyBorder="1" fillId="7" xfId="0" numFmtId="168" borderId="8" applyFont="1" fontId="14" applyNumberFormat="1" applyFill="1"/>
    <xf applyBorder="1" applyAlignment="1" fillId="8" xfId="0" numFmtId="0" borderId="9" applyFont="1" fontId="15" applyFill="1">
      <alignment vertical="bottom" horizontal="center"/>
    </xf>
    <xf applyBorder="1" fillId="0" xfId="0" numFmtId="1" borderId="10" applyFont="1" fontId="16" applyNumberFormat="1"/>
    <xf applyBorder="1" applyAlignment="1" fillId="0" xfId="0" numFmtId="169" borderId="11" applyFont="1" fontId="17" applyNumberFormat="1">
      <alignment vertical="bottom" horizontal="right"/>
    </xf>
    <xf applyBorder="1" applyAlignment="1" fillId="9" xfId="0" numFmtId="0" borderId="12" applyFont="1" fontId="18" applyFill="1">
      <alignment vertical="bottom" horizontal="center"/>
    </xf>
    <xf applyBorder="1" fillId="0" xfId="0" numFmtId="170" borderId="13" applyFont="1" fontId="19" applyNumberFormat="1"/>
    <xf applyBorder="1" fillId="0" xfId="0" numFmtId="171" borderId="14" applyFont="1" fontId="20" applyNumberFormat="1"/>
    <xf applyAlignment="1" fillId="0" xfId="0" numFmtId="0" borderId="0" applyFont="1" fontId="21">
      <alignment vertical="bottom" horizontal="general" wrapText="1"/>
    </xf>
    <xf fillId="10" xfId="0" numFmtId="172" borderId="0" applyFont="1" fontId="22" applyNumberFormat="1" applyFill="1"/>
    <xf applyBorder="1" fillId="0" xfId="0" numFmtId="173" borderId="15" applyFont="1" fontId="23" applyNumberFormat="1"/>
    <xf applyBorder="1" applyAlignment="1" fillId="11" xfId="0" numFmtId="0" borderId="16" applyFont="1" fontId="24" applyFill="1">
      <alignment vertical="bottom" horizontal="center"/>
    </xf>
    <xf applyBorder="1" fillId="0" xfId="0" numFmtId="9" borderId="17" applyFont="1" fontId="25" applyNumberFormat="1"/>
    <xf applyBorder="1" fillId="12" xfId="0" numFmtId="174" borderId="18" applyFont="1" fontId="26" applyNumberFormat="1" applyFill="1"/>
    <xf applyBorder="1" fillId="13" xfId="0" numFmtId="0" borderId="19" applyFont="1" fontId="27" applyFill="1"/>
    <xf applyAlignment="1" fillId="0" xfId="0" numFmtId="0" borderId="0" applyFont="1" fontId="28">
      <alignment vertical="bottom" horizontal="general" wrapText="1"/>
    </xf>
    <xf applyBorder="1" applyAlignment="1" fillId="0" xfId="0" numFmtId="175" borderId="20" applyFont="1" fontId="29" applyNumberFormat="1">
      <alignment vertical="bottom" horizontal="right"/>
    </xf>
    <xf applyAlignment="1" fillId="0" xfId="0" numFmtId="0" borderId="0" applyFont="1" fontId="30">
      <alignment vertical="bottom" horizontal="general" wrapText="1"/>
    </xf>
    <xf applyBorder="1" fillId="0" xfId="0" numFmtId="0" borderId="21" applyFont="1" fontId="31"/>
    <xf applyBorder="1" fillId="0" xfId="0" numFmtId="0" borderId="22" applyFont="1" fontId="32"/>
    <xf applyBorder="1" fillId="0" xfId="0" numFmtId="0" borderId="23" applyFont="1" fontId="33"/>
    <xf applyBorder="1" fillId="0" xfId="0" numFmtId="0" borderId="24" applyFont="1" fontId="34"/>
    <xf applyBorder="1" fillId="0" xfId="0" numFmtId="176" borderId="25" applyFont="1" fontId="35" applyNumberFormat="1"/>
    <xf applyAlignment="1" fillId="14" xfId="0" numFmtId="0" borderId="0" applyFont="1" fontId="36" applyFill="1">
      <alignment vertical="center" horizontal="general"/>
    </xf>
    <xf applyBorder="1" applyAlignment="1" fillId="15" xfId="0" numFmtId="0" borderId="26" applyFont="1" fontId="37" applyFill="1">
      <alignment vertical="bottom" horizontal="left"/>
    </xf>
    <xf fillId="0" xfId="0" numFmtId="1" borderId="0" applyFont="1" fontId="38" applyNumberFormat="1"/>
    <xf fillId="0" xfId="0" numFmtId="177" borderId="0" applyFont="1" fontId="39" applyNumberFormat="1"/>
    <xf applyBorder="1" applyAlignment="1" fillId="16" xfId="0" numFmtId="0" borderId="27" applyFont="1" fontId="40" applyFill="1">
      <alignment vertical="bottom" horizontal="center"/>
    </xf>
    <xf applyBorder="1" fillId="0" xfId="0" numFmtId="0" borderId="28" applyFont="1" fontId="41"/>
    <xf fillId="0" xfId="0" numFmtId="0" borderId="0" applyFont="1" fontId="42"/>
    <xf applyBorder="1" applyAlignment="1" fillId="17" xfId="0" numFmtId="0" borderId="29" applyFont="1" fontId="43" applyFill="1">
      <alignment vertical="bottom" horizontal="center"/>
    </xf>
  </cellXfs>
  <cellStyles count="1">
    <cellStyle builtinId="0" name="Normal" xfId="0"/>
  </cellStyles>
  <dxfs count="1">
    <dxf>
      <font>
        <color rgb="FF000000"/>
      </font>
      <fill>
        <patternFill patternType="solid">
          <bgColor rgb="FFC00000"/>
        </patternFill>
      </fill>
    </dxf>
  </dxf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s>
</file>

<file path=xl/drawings/_rels/drawing1.xml.rels><?xml version="1.0" encoding="UTF-8" standalone="yes"?><Relationships xmlns="http://schemas.openxmlformats.org/package/2006/relationships"><Relationship Target="../media/image00.gif" Type="http://schemas.openxmlformats.org/officeDocument/2006/relationships/image" Id="rId1"/></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4</xdr:col>
      <xdr:colOff>0</xdr:colOff>
      <xdr:row>409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410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410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414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414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417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418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419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419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419</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419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420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420</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420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420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421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421</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421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422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422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421</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421</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422</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422</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422</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424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424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424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424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424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426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426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426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426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428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426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429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426</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429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424</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428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428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428</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428</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425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426</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427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428</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425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427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428</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424</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429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609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609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609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437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439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439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446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447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446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457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457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456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465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466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465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475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475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474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488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489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489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498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498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499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506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505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505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515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515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516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525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524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524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536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536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536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535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536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535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544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543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543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554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554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554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553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554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553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574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573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574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573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572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620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575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575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623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622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621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625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624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618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618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618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567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568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571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572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571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570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569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570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637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637</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637</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637</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637</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637</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637</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637</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637</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637</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637</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637</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637</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4286250</xdr:colOff>
      <xdr:row>637</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4048125</xdr:colOff>
      <xdr:row>637</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637</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3571875</xdr:colOff>
      <xdr:row>637</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637</xdr:row>
      <xdr:rowOff>5000625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4762500</xdr:colOff>
      <xdr:row>637</xdr:row>
      <xdr:rowOff>4762500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4524375</xdr:colOff>
      <xdr:row>637</xdr:row>
      <xdr:rowOff>4524375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626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627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628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629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629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629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630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631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632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633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634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635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636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579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578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578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579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576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577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577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577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576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603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603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604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604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602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602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603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602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606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606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607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606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605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604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605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605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600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601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601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601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600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600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590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590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590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589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588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589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638</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638</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3571875</xdr:colOff>
      <xdr:row>638</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638</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638</xdr:row>
      <xdr:rowOff>4762500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4524375</xdr:colOff>
      <xdr:row>638</xdr:row>
      <xdr:rowOff>4524375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4286250</xdr:colOff>
      <xdr:row>638</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638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607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607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638</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638</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638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638</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638</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638</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638</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638</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638</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638</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638</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639</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639</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639</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639</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4524375</xdr:colOff>
      <xdr:row>639</xdr:row>
      <xdr:rowOff>4524375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639</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4286250</xdr:colOff>
      <xdr:row>639</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639</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639</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639</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639</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639</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639</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639</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639</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639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639</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639</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639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639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640</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640</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640</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640</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640</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640</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640</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640</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640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640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640</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640</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640</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640</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640</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3571875</xdr:colOff>
      <xdr:row>640</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640</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641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641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641</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641</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641</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641</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641</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641</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641</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641</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3571875</xdr:colOff>
      <xdr:row>641</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641</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4048125</xdr:colOff>
      <xdr:row>641</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641</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641</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641</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641</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642</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3571875</xdr:colOff>
      <xdr:row>642</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642</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642</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642</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642</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642</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642</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642</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642</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642</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642</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642</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642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642</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642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643</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643</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643</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643</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643</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643</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643</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643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643</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643</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643</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643</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643</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643</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643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644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644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644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644</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644</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644</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644</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644</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644</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644</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644</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3571875</xdr:colOff>
      <xdr:row>644</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644</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645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645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645</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645</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645</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645</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645</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645</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645</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645</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645</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645</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645</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645</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646</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646</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646</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646</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646</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646</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646</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646</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646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646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646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647</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647</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647</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647</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647</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647</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647</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647</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647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647</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647</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647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649</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649</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649</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649</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649</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649</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649</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649</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649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649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648</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648</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648</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648</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648</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648</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648</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648</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648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648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648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648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651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651</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651</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651</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651</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651</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651</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651</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651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650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650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650</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650</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650</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650</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650</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650</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650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650</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653</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653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653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653</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653</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653</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653</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xdr:colOff>
      <xdr:row>652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652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652</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652</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652</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652</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652</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652</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655</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655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655</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655</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655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xdr:colOff>
      <xdr:row>654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654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654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654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654</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657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657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657</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657</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656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xdr:colOff>
      <xdr:row>656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656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656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0</xdr:colOff>
      <xdr:row>659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xdr:colOff>
      <xdr:row>659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658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238125</xdr:colOff>
      <xdr:row>658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658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637</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637</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637</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637</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637</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637</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637</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637</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4286250</xdr:colOff>
      <xdr:row>637</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4048125</xdr:colOff>
      <xdr:row>637</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3810000</xdr:colOff>
      <xdr:row>637</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3571875</xdr:colOff>
      <xdr:row>637</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637</xdr:row>
      <xdr:rowOff>5000625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4762500</xdr:colOff>
      <xdr:row>637</xdr:row>
      <xdr:rowOff>4762500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4524375</xdr:colOff>
      <xdr:row>637</xdr:row>
      <xdr:rowOff>4524375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637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637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637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637</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637</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637</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637</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xdr:colOff>
      <xdr:row>660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0</xdr:colOff>
      <xdr:row>660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639</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639</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639</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639</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639</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639</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639</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639</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639</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639</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3810000</xdr:colOff>
      <xdr:row>639</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3571875</xdr:colOff>
      <xdr:row>639</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4286250</xdr:colOff>
      <xdr:row>639</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4048125</xdr:colOff>
      <xdr:row>639</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639</xdr:row>
      <xdr:rowOff>4524375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639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639</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639</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639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639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638</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3571875</xdr:colOff>
      <xdr:row>638</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3810000</xdr:colOff>
      <xdr:row>638</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4048125</xdr:colOff>
      <xdr:row>638</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4286250</xdr:colOff>
      <xdr:row>638</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4524375</xdr:colOff>
      <xdr:row>638</xdr:row>
      <xdr:rowOff>4524375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4762500</xdr:colOff>
      <xdr:row>638</xdr:row>
      <xdr:rowOff>4762500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638</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638</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638</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638</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638</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638</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638</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638</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638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638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638</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638</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638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638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642</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642</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642</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642</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642</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642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642</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642</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3571875</xdr:colOff>
      <xdr:row>642</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642</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642</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642</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642</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642</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642</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642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642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643</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643</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3571875</xdr:colOff>
      <xdr:row>643</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643</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643</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643</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643</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643</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643</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643</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643</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643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643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643</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643</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643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640</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640</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640</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640</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640</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640</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640</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640</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640</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4048125</xdr:colOff>
      <xdr:row>640</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3810000</xdr:colOff>
      <xdr:row>640</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3571875</xdr:colOff>
      <xdr:row>640</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640</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640</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640</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640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640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640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640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641</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641</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3810000</xdr:colOff>
      <xdr:row>641</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641</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641</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641</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641</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641</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641</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641</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641</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641</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641</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641</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641</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641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641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641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646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646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646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646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646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646</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646</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646</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646</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646</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646</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646</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646</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647</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647</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647</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647</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647</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647</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647</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647</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647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647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647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647</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647</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644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644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644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644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644</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644</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644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644</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644</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644</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644</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3571875</xdr:colOff>
      <xdr:row>644</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644</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644</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644</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645</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645</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645</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645</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645</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645</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645</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645</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645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645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645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645</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645</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645</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645</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650</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650</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650</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650</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650</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650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650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650</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650</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650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650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651</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651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651</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651</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651</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651</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651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651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651</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651</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648</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648</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648</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648</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648</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648</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648</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648</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648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648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648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648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649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649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649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649</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649</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649</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649</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649</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649</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649</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649</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654</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654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654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654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654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654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654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655</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655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655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655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655</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655</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652</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652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652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652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652</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652</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652</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652</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652</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653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653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653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653</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653</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653</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653</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653</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659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659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659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658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658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658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658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657</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657</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657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657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657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656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656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656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656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638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638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638</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638</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xdr:colOff>
      <xdr:row>638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638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638</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4048125</xdr:colOff>
      <xdr:row>638</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638</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3571875</xdr:colOff>
      <xdr:row>638</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4762500</xdr:colOff>
      <xdr:row>638</xdr:row>
      <xdr:rowOff>4762500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638</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4524375</xdr:colOff>
      <xdr:row>638</xdr:row>
      <xdr:rowOff>4524375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638</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638</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638</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638</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638</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638</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638</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638</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637</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637</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637</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637</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4</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637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637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637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637</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637</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637</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637</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637</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637</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637</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637</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4286250</xdr:colOff>
      <xdr:row>637</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4048125</xdr:colOff>
      <xdr:row>637</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3810000</xdr:colOff>
      <xdr:row>637</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3571875</xdr:colOff>
      <xdr:row>637</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637</xdr:row>
      <xdr:rowOff>5000625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4762500</xdr:colOff>
      <xdr:row>637</xdr:row>
      <xdr:rowOff>4762500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4524375</xdr:colOff>
      <xdr:row>637</xdr:row>
      <xdr:rowOff>4524375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4</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660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660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642</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642</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642</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642</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642</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642</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642</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3810000</xdr:colOff>
      <xdr:row>642</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642</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3571875</xdr:colOff>
      <xdr:row>642</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642</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642</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642</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642</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xdr:colOff>
      <xdr:row>642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642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641</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3810000</xdr:colOff>
      <xdr:row>641</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3571875</xdr:colOff>
      <xdr:row>641</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641</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641</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641</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641</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641</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641</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641</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641</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641</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641</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641</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641</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641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641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640</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640</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640</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640</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640</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640</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640</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640</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3810000</xdr:colOff>
      <xdr:row>640</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4048125</xdr:colOff>
      <xdr:row>640</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4286250</xdr:colOff>
      <xdr:row>640</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640</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640</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640</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3571875</xdr:colOff>
      <xdr:row>640</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640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640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640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4286250</xdr:colOff>
      <xdr:row>639</xdr:row>
      <xdr:rowOff>4286250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4048125</xdr:colOff>
      <xdr:row>639</xdr:row>
      <xdr:rowOff>4048125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4524375</xdr:colOff>
      <xdr:row>639</xdr:row>
      <xdr:rowOff>4524375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639</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639</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3810000</xdr:colOff>
      <xdr:row>639</xdr:row>
      <xdr:rowOff>3810000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3571875</xdr:colOff>
      <xdr:row>639</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639</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639</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639</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639</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639</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639</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639</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639</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639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639</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639</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639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639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646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646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646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646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646</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646</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646</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646</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646</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646</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646</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646</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645</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645</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645</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645</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645</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645</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645</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645</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645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645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645</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645</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645</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645</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644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644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644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644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644</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644</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644</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644</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644</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644</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644</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644</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644</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3571875</xdr:colOff>
      <xdr:row>644</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643</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643</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643</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643</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643</xdr:row>
      <xdr:rowOff>3333750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643</xdr:row>
      <xdr:rowOff>3095625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3571875</xdr:colOff>
      <xdr:row>643</xdr:row>
      <xdr:rowOff>3571875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643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643</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643</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643</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643</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643</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643</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643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651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651</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651</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651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651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651</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651</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651</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651</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651</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652</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652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652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652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652</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652</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652</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652</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652</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653</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653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653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653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653</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653</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653</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653</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654</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xdr:colOff>
      <xdr:row>654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654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654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654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654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654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647</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647</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647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647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647</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647</xdr:row>
      <xdr:rowOff>2857500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647</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647</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647</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647</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647</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647</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648</xdr:row>
      <xdr:rowOff>2619375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648</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648</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648</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648</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648</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648</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648</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648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648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648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649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649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649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649</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649</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649</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2381250</xdr:colOff>
      <xdr:row>649</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649</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649</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649</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649</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2381250</xdr:colOff>
      <xdr:row>650</xdr:row>
      <xdr:rowOff>2381250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650</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650</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2143125</xdr:colOff>
      <xdr:row>650</xdr:row>
      <xdr:rowOff>2143125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1905000</xdr:colOff>
      <xdr:row>650</xdr:row>
      <xdr:rowOff>1905000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650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650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650</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650</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xdr:colOff>
      <xdr:row>650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650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659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659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659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660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660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422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422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421</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421</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422</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422</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422</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420</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420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420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421</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421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421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419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418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418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420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419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419</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415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416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414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414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417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417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414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410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411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410</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413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412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409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410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413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0</xdr:colOff>
      <xdr:row>436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435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434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439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438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437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432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431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430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429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609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609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609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433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426</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429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424</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428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428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428</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428</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425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426</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427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428</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425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427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1428750</xdr:colOff>
      <xdr:row>428</xdr:row>
      <xdr:rowOff>1428750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1666875</xdr:colOff>
      <xdr:row>424</xdr:row>
      <xdr:rowOff>1666875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424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424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424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424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424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426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428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428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426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426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426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426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454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454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454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439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439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443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444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444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655</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655</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655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655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655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655</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714375</xdr:colOff>
      <xdr:row>656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656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656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656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656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657</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657</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0</xdr:colOff>
      <xdr:row>657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238125</xdr:colOff>
      <xdr:row>657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476250</xdr:colOff>
      <xdr:row>657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476250</xdr:colOff>
      <xdr:row>658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714375</xdr:colOff>
      <xdr:row>658</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238125</xdr:colOff>
      <xdr:row>658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0</xdr:colOff>
      <xdr:row>658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6</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607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607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607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606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606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606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605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605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605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604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604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604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603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603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603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602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602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602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600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600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601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600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601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601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590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590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590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584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577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xdr:colOff>
      <xdr:row>576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579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580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580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578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527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526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525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524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523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522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521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520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536</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536</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536</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529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528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529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529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511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512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511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508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509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509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483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482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483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493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494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494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464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463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464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473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474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474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623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624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625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620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621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622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628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629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630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630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630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631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626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627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635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634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634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634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636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636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635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635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632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632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631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631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633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633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633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632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636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558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559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557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567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567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571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570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569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574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573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572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620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620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575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575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575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539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539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539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617</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617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548</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548</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617</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548</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549</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550</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549</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549</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551</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551</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550</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550</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552</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552</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551</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552</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554</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553</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553</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553</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952500</xdr:colOff>
      <xdr:row>554</xdr:row>
      <xdr:rowOff>952500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714375</xdr:colOff>
      <xdr:row>554</xdr:row>
      <xdr:rowOff>714375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554</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554</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555</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555</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555</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1190625</xdr:colOff>
      <xdr:row>554</xdr:row>
      <xdr:rowOff>1190625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557</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476250</xdr:colOff>
      <xdr:row>556</xdr:row>
      <xdr:rowOff>476250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238125</xdr:colOff>
      <xdr:row>556</xdr:row>
      <xdr:rowOff>238125</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0</xdr:colOff>
      <xdr:row>556</xdr:row>
      <xdr:rowOff>0</xdr:rowOff>
    </xdr:from>
    <xdr:ext cy="0" cx="0"/>
    <xdr:pic>
      <xdr:nvPicPr>
        <xdr:cNvPr id="0" name="image00.gif"/>
        <xdr:cNvPicPr preferRelativeResize="0"/>
      </xdr:nvPicPr>
      <xdr:blipFill>
        <a:blip cstate="print" r:embed="rId1"/>
        <a:stretch>
          <a:fillRect/>
        </a:stretch>
      </xdr:blipFill>
      <xdr:spPr>
        <a:xfrm>
          <a:ext cy="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5000625</xdr:colOff>
      <xdr:row>638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5238750</xdr:colOff>
      <xdr:row>637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4048125</xdr:colOff>
      <xdr:row>642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4286250</xdr:colOff>
      <xdr:row>641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4762500</xdr:colOff>
      <xdr:row>639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4524375</xdr:colOff>
      <xdr:row>640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649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2857500</xdr:colOff>
      <xdr:row>648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3571875</xdr:colOff>
      <xdr:row>645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3810000</xdr:colOff>
      <xdr:row>644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3095625</xdr:colOff>
      <xdr:row>647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3333750</xdr:colOff>
      <xdr:row>646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1905000</xdr:colOff>
      <xdr:row>653</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1666875</xdr:colOff>
      <xdr:row>654</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2619375</xdr:colOff>
      <xdr:row>650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2143125</xdr:colOff>
      <xdr:row>652</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2381250</xdr:colOff>
      <xdr:row>651</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655</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714375</xdr:colOff>
      <xdr:row>659</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476250</xdr:colOff>
      <xdr:row>660</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1428750</xdr:colOff>
      <xdr:row>656</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1190625</xdr:colOff>
      <xdr:row>657</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oneCellAnchor>
    <xdr:from>
      <xdr:col>5</xdr:col>
      <xdr:colOff>952500</xdr:colOff>
      <xdr:row>658</xdr:row>
      <xdr:rowOff>0</xdr:rowOff>
    </xdr:from>
    <xdr:ext cy="95250" cx="0"/>
    <xdr:pic>
      <xdr:nvPicPr>
        <xdr:cNvPr id="0" name="image00.gif"/>
        <xdr:cNvPicPr preferRelativeResize="0"/>
      </xdr:nvPicPr>
      <xdr:blipFill>
        <a:blip cstate="print" r:embed="rId1"/>
        <a:stretch>
          <a:fillRect/>
        </a:stretch>
      </xdr:blipFill>
      <xdr:spPr>
        <a:xfrm>
          <a:ext cy="95250" cx="0"/>
        </a:xfrm>
        <a:prstGeom prst="rect">
          <a:avLst/>
        </a:prstGeom>
        <a:noFill/>
      </xdr:spPr>
    </xdr:pic>
    <xdr:clientData fLocksWithSheet="0"/>
  </xdr:oneCellAnchor>
</xdr:wsDr>
</file>

<file path=xl/worksheets/_rels/sheet2.xml.rels><?xml version="1.0" encoding="UTF-8" standalone="yes"?><Relationships xmlns="http://schemas.openxmlformats.org/package/2006/relationships"><Relationship Target="../drawings/drawing1.xml" Type="http://schemas.openxmlformats.org/officeDocument/2006/relationships/drawing"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86" defaultRowHeight="15.0"/>
  <cols>
    <col min="1" customWidth="1" max="1" width="14.71"/>
    <col min="2" customWidth="1" max="2" width="21.0"/>
    <col min="3" customWidth="1" max="3" width="4.57"/>
    <col min="4" customWidth="1" max="4" width="9.57"/>
    <col min="5" customWidth="1" max="5" width="7.14"/>
    <col min="6" customWidth="1" max="7" style="42" width="4.14"/>
    <col min="8" customWidth="1" max="8" style="42" width="9.57"/>
    <col min="9" customWidth="1" max="9" style="42" width="7.14"/>
    <col min="10" customWidth="1" max="10" width="9.57"/>
    <col min="11" customWidth="1" max="11" width="7.14"/>
    <col min="12" customWidth="1" max="12" width="9.57"/>
    <col min="13" customWidth="1" max="13" width="7.14"/>
    <col min="14" customWidth="1" max="14" width="9.57"/>
    <col min="15" customWidth="1" max="15" width="7.14"/>
    <col min="16" customWidth="1" max="16" style="38" width="5.86"/>
    <col min="17" customWidth="1" max="18" width="6.14"/>
    <col min="19" customWidth="1" max="19" style="42" width="5.71"/>
  </cols>
  <sheetData>
    <row r="1">
      <c s="3" r="A1"/>
      <c s="27" r="B1"/>
      <c s="3" r="C1"/>
      <c t="s" s="43" r="D1">
        <v>0</v>
      </c>
      <c s="43" r="E1"/>
      <c t="s" s="43" r="F1">
        <v>1</v>
      </c>
      <c s="43" r="G1"/>
      <c s="43" r="H1"/>
      <c s="43" r="I1"/>
      <c t="s" s="43" r="J1">
        <v>2</v>
      </c>
      <c s="43" r="K1"/>
      <c t="s" s="43" r="L1">
        <v>3</v>
      </c>
      <c s="43" r="M1"/>
      <c t="s" s="43" r="N1">
        <v>4</v>
      </c>
      <c s="43" r="O1"/>
      <c t="s" s="15" r="P1">
        <v>5</v>
      </c>
      <c s="18" r="Q1"/>
      <c s="18" r="R1"/>
      <c s="24" r="S1"/>
    </row>
    <row r="2">
      <c t="s" s="40" r="A2">
        <v>6</v>
      </c>
      <c t="s" s="27" r="B2">
        <v>7</v>
      </c>
      <c t="s" s="37" r="C2">
        <v>8</v>
      </c>
      <c t="s" s="14" r="D2">
        <v>9</v>
      </c>
      <c t="s" s="26" r="E2">
        <v>10</v>
      </c>
      <c t="s" s="2" r="F2">
        <v>11</v>
      </c>
      <c t="s" s="2" r="G2">
        <v>11</v>
      </c>
      <c t="s" s="26" r="H2">
        <v>9</v>
      </c>
      <c t="s" s="26" r="I2">
        <v>10</v>
      </c>
      <c t="s" s="14" r="J2">
        <v>9</v>
      </c>
      <c t="s" s="26" r="K2">
        <v>10</v>
      </c>
      <c t="s" s="14" r="L2">
        <v>9</v>
      </c>
      <c t="s" s="26" r="M2">
        <v>10</v>
      </c>
      <c t="s" s="14" r="N2">
        <v>9</v>
      </c>
      <c t="s" s="26" r="O2">
        <v>10</v>
      </c>
      <c t="s" s="13" r="P2">
        <v>12</v>
      </c>
      <c t="s" s="27" r="Q2">
        <v>13</v>
      </c>
      <c t="s" s="27" r="R2">
        <v>14</v>
      </c>
      <c t="s" s="27" r="S2">
        <v>4</v>
      </c>
    </row>
    <row r="3">
      <c t="s" s="31" r="A3">
        <v>15</v>
      </c>
      <c t="s" s="31" r="B3">
        <v>16</v>
      </c>
      <c s="31" r="C3">
        <f>COUNTIF(Rosters!F:F,Finances!B3)</f>
        <v>33</v>
      </c>
      <c s="19" r="D3">
        <v>99</v>
      </c>
      <c s="35" r="E3">
        <v>0.408</v>
      </c>
      <c s="25" r="F3">
        <v>0</v>
      </c>
      <c s="25" r="G3">
        <v>0</v>
      </c>
      <c s="19" r="H3">
        <f>D3*F3</f>
        <v>0</v>
      </c>
      <c s="35" r="I3">
        <f>E3*G3</f>
        <v>0</v>
      </c>
      <c s="29" r="J3">
        <f>SUMIF(Rosters!E:E,Finances!B3,Rosters!O:O)</f>
        <v>0</v>
      </c>
      <c s="17" r="K3">
        <f>SUMIF(Rosters!E:E,Finances!B3,Rosters!P:P)</f>
        <v>0</v>
      </c>
      <c s="1" r="L3">
        <f>SUMIF(Rosters!F:F,Finances!B3,Rosters!O:O)*(0.9)</f>
        <v>0</v>
      </c>
      <c s="20" r="M3">
        <f>SUMIF(Rosters!F:F,Finances!B3,Rosters!P:P)</f>
        <v>0</v>
      </c>
      <c s="23" r="N3">
        <f>((D3-J3)+L3)+H3</f>
        <v>99</v>
      </c>
      <c s="7" r="O3">
        <f>((E3-K3)+M3)+I3</f>
        <v>0.408</v>
      </c>
      <c s="16" r="P3">
        <v>0</v>
      </c>
      <c s="32" r="Q3">
        <v>3</v>
      </c>
      <c s="34" r="R3">
        <v>0</v>
      </c>
      <c s="16" r="S3">
        <f>(P3+Q3)-R3</f>
        <v>3</v>
      </c>
    </row>
    <row r="4">
      <c t="s" s="31" r="A4">
        <v>17</v>
      </c>
      <c t="s" s="31" r="B4">
        <v>18</v>
      </c>
      <c s="31" r="C4">
        <f>COUNTIF(Rosters!F:F,Finances!B4)</f>
        <v>33</v>
      </c>
      <c s="19" r="D4">
        <f>D3*0.915</f>
        <v>90.585</v>
      </c>
      <c s="35" r="E4">
        <v>0.368</v>
      </c>
      <c s="25" r="F4">
        <v>0</v>
      </c>
      <c s="25" r="G4">
        <v>0</v>
      </c>
      <c s="19" r="H4">
        <f>D4*F4</f>
        <v>0</v>
      </c>
      <c s="35" r="I4">
        <f>E4*G4</f>
        <v>0</v>
      </c>
      <c s="29" r="J4">
        <f>SUMIF(Rosters!E:E,Finances!B4,Rosters!O:O)</f>
        <v>0</v>
      </c>
      <c s="17" r="K4">
        <f>SUMIF(Rosters!E:E,Finances!B4,Rosters!P:P)</f>
        <v>0</v>
      </c>
      <c s="1" r="L4">
        <f>SUMIF(Rosters!F:F,Finances!B4,Rosters!O:O)*(0.9)</f>
        <v>54.72</v>
      </c>
      <c s="20" r="M4">
        <f>SUMIF(Rosters!F:F,Finances!B4,Rosters!P:P)</f>
        <v>0.213</v>
      </c>
      <c s="23" r="N4">
        <f>((D4-J4)+L4)+H4</f>
        <v>145.305</v>
      </c>
      <c s="7" r="O4">
        <f>((E4-K4)+M4)+I4</f>
        <v>0.581</v>
      </c>
      <c s="16" r="P4">
        <v>0</v>
      </c>
      <c s="32" r="Q4">
        <v>3</v>
      </c>
      <c s="34" r="R4">
        <v>0</v>
      </c>
      <c s="16" r="S4">
        <f>(P4+Q4)-R4</f>
        <v>3</v>
      </c>
    </row>
    <row r="5">
      <c t="s" s="31" r="A5">
        <v>19</v>
      </c>
      <c t="s" s="31" r="B5">
        <v>20</v>
      </c>
      <c s="31" r="C5">
        <f>COUNTIF(Rosters!F:F,Finances!B5)</f>
        <v>33</v>
      </c>
      <c s="19" r="D5">
        <v>80.2</v>
      </c>
      <c s="35" r="E5">
        <v>0.331</v>
      </c>
      <c s="25" r="F5">
        <v>0</v>
      </c>
      <c s="25" r="G5">
        <v>0</v>
      </c>
      <c s="19" r="H5">
        <f>D5*F5</f>
        <v>0</v>
      </c>
      <c s="35" r="I5">
        <f>E5*G5</f>
        <v>0</v>
      </c>
      <c s="29" r="J5">
        <f>SUMIF(Rosters!E:E,Finances!B5,Rosters!O:O)</f>
        <v>0</v>
      </c>
      <c s="17" r="K5">
        <f>SUMIF(Rosters!E:E,Finances!B5,Rosters!P:P)</f>
        <v>0</v>
      </c>
      <c s="1" r="L5">
        <f>SUMIF(Rosters!F:F,Finances!B5,Rosters!O:O)*(0.9)</f>
        <v>0</v>
      </c>
      <c s="20" r="M5">
        <f>SUMIF(Rosters!F:F,Finances!B5,Rosters!P:P)</f>
        <v>0</v>
      </c>
      <c s="23" r="N5">
        <f>((D5-J5)+L5)+H5</f>
        <v>80.2</v>
      </c>
      <c s="7" r="O5">
        <f>((E5-K5)+M5)+I5</f>
        <v>0.331</v>
      </c>
      <c s="16" r="P5">
        <v>0</v>
      </c>
      <c s="32" r="Q5">
        <v>3</v>
      </c>
      <c s="34" r="R5">
        <v>0</v>
      </c>
      <c s="16" r="S5">
        <f>(P5+Q5)-R5</f>
        <v>3</v>
      </c>
    </row>
    <row r="6">
      <c t="s" s="31" r="A6">
        <v>21</v>
      </c>
      <c t="s" s="31" r="B6">
        <v>22</v>
      </c>
      <c s="31" r="C6">
        <f>COUNTIF(Rosters!F:F,Finances!B6)</f>
        <v>33</v>
      </c>
      <c s="19" r="D6">
        <v>65.6</v>
      </c>
      <c s="35" r="E6">
        <v>0.271</v>
      </c>
      <c s="25" r="F6">
        <v>0</v>
      </c>
      <c s="25" r="G6">
        <v>0</v>
      </c>
      <c s="19" r="H6">
        <f>D6*F6</f>
        <v>0</v>
      </c>
      <c s="35" r="I6">
        <f>E6*G6</f>
        <v>0</v>
      </c>
      <c s="29" r="J6">
        <f>SUMIF(Rosters!E:E,Finances!B6,Rosters!O:O)</f>
        <v>17.4</v>
      </c>
      <c s="17" r="K6">
        <f>SUMIF(Rosters!E:E,Finances!B6,Rosters!P:P)</f>
        <v>0.085</v>
      </c>
      <c s="1" r="L6">
        <f>SUMIF(Rosters!F:F,Finances!B6,Rosters!O:O)*(0.9)</f>
        <v>15.66</v>
      </c>
      <c s="20" r="M6">
        <f>SUMIF(Rosters!F:F,Finances!B6,Rosters!P:P)</f>
        <v>0.068</v>
      </c>
      <c s="23" r="N6">
        <f>((D6-J6)+L6)+H6</f>
        <v>63.86</v>
      </c>
      <c s="7" r="O6">
        <f>((E6-K6)+M6)+I6</f>
        <v>0.254</v>
      </c>
      <c s="16" r="P6">
        <v>0</v>
      </c>
      <c s="32" r="Q6">
        <v>3</v>
      </c>
      <c s="34" r="R6">
        <v>0</v>
      </c>
      <c s="16" r="S6">
        <f>(P6+Q6)-R6</f>
        <v>3</v>
      </c>
    </row>
    <row r="7">
      <c t="s" s="31" r="A7">
        <v>23</v>
      </c>
      <c t="s" s="31" r="B7">
        <v>24</v>
      </c>
      <c s="31" r="C7">
        <f>COUNTIF(Rosters!F:F,Finances!B7)</f>
        <v>33</v>
      </c>
      <c s="19" r="D7">
        <v>70.9</v>
      </c>
      <c s="35" r="E7">
        <v>0.292</v>
      </c>
      <c s="25" r="F7">
        <v>0</v>
      </c>
      <c s="25" r="G7">
        <v>0</v>
      </c>
      <c s="19" r="H7">
        <f>D7*F7</f>
        <v>0</v>
      </c>
      <c s="35" r="I7">
        <f>E7*G7</f>
        <v>0</v>
      </c>
      <c s="29" r="J7">
        <f>SUMIF(Rosters!E:E,Finances!B7,Rosters!O:O)</f>
        <v>51.9</v>
      </c>
      <c s="17" r="K7">
        <f>SUMIF(Rosters!E:E,Finances!B7,Rosters!P:P)</f>
        <v>0.222</v>
      </c>
      <c s="1" r="L7">
        <f>SUMIF(Rosters!F:F,Finances!B7,Rosters!O:O)*(0.9)</f>
        <v>33.39</v>
      </c>
      <c s="20" r="M7">
        <f>SUMIF(Rosters!F:F,Finances!B7,Rosters!P:P)</f>
        <v>0.158</v>
      </c>
      <c s="23" r="N7">
        <f>((D7-J7)+L7)+H7</f>
        <v>52.39</v>
      </c>
      <c s="7" r="O7">
        <f>((E7-K7)+M7)+I7</f>
        <v>0.228</v>
      </c>
      <c s="16" r="P7">
        <v>0</v>
      </c>
      <c s="32" r="Q7">
        <v>3</v>
      </c>
      <c s="34" r="R7">
        <v>0</v>
      </c>
      <c s="16" r="S7">
        <f>(P7+Q7)-R7</f>
        <v>3</v>
      </c>
    </row>
    <row r="8">
      <c t="s" s="31" r="A8">
        <v>25</v>
      </c>
      <c t="s" s="31" r="B8">
        <v>26</v>
      </c>
      <c s="31" r="C8">
        <f>COUNTIF(Rosters!F:F,Finances!B8)</f>
        <v>33</v>
      </c>
      <c s="19" r="D8">
        <v>53.1</v>
      </c>
      <c s="35" r="E8">
        <v>0.219</v>
      </c>
      <c s="25" r="F8">
        <v>0</v>
      </c>
      <c s="25" r="G8">
        <v>0</v>
      </c>
      <c s="19" r="H8">
        <f>D8*F8</f>
        <v>0</v>
      </c>
      <c s="35" r="I8">
        <f>E8*G8</f>
        <v>0</v>
      </c>
      <c s="29" r="J8">
        <f>SUMIF(Rosters!E:E,Finances!B8,Rosters!O:O)</f>
        <v>0</v>
      </c>
      <c s="17" r="K8">
        <f>SUMIF(Rosters!E:E,Finances!B8,Rosters!P:P)</f>
        <v>0</v>
      </c>
      <c s="1" r="L8">
        <f>SUMIF(Rosters!F:F,Finances!B8,Rosters!O:O)*(0.9)</f>
        <v>19.08</v>
      </c>
      <c s="20" r="M8">
        <f>SUMIF(Rosters!F:F,Finances!B8,Rosters!P:P)</f>
        <v>0.052</v>
      </c>
      <c s="23" r="N8">
        <f>((D8-J8)+L8)+H8</f>
        <v>72.18</v>
      </c>
      <c s="7" r="O8">
        <f>((E8-K8)+M8)+I8</f>
        <v>0.271</v>
      </c>
      <c s="16" r="P8">
        <v>0</v>
      </c>
      <c s="32" r="Q8">
        <v>2</v>
      </c>
      <c s="34" r="R8">
        <v>0</v>
      </c>
      <c s="16" r="S8">
        <f>(P8+Q8)-R8</f>
        <v>2</v>
      </c>
    </row>
    <row r="9">
      <c t="s" s="31" r="A9">
        <v>27</v>
      </c>
      <c t="s" s="31" r="B9">
        <v>28</v>
      </c>
      <c s="31" r="C9">
        <f>COUNTIF(Rosters!F:F,Finances!B9)</f>
        <v>33</v>
      </c>
      <c s="19" r="D9">
        <v>47.8</v>
      </c>
      <c s="35" r="E9">
        <v>0.197</v>
      </c>
      <c s="25" r="F9">
        <v>0</v>
      </c>
      <c s="25" r="G9">
        <v>0</v>
      </c>
      <c s="19" r="H9">
        <f>D9*F9</f>
        <v>0</v>
      </c>
      <c s="35" r="I9">
        <f>E9*G9</f>
        <v>0</v>
      </c>
      <c s="29" r="J9">
        <f>SUMIF(Rosters!E:E,Finances!B9,Rosters!O:O)</f>
        <v>0</v>
      </c>
      <c s="17" r="K9">
        <f>SUMIF(Rosters!E:E,Finances!B9,Rosters!P:P)</f>
        <v>0</v>
      </c>
      <c s="1" r="L9">
        <f>SUMIF(Rosters!F:F,Finances!B9,Rosters!O:O)*(0.9)</f>
        <v>1.53</v>
      </c>
      <c s="20" r="M9">
        <f>SUMIF(Rosters!F:F,Finances!B9,Rosters!P:P)</f>
        <v>0.008</v>
      </c>
      <c s="23" r="N9">
        <f>((D9-J9)+L9)+H9</f>
        <v>49.33</v>
      </c>
      <c s="7" r="O9">
        <f>((E9-K9)+M9)+I9</f>
        <v>0.205</v>
      </c>
      <c s="16" r="P9">
        <v>0</v>
      </c>
      <c s="32" r="Q9">
        <v>2</v>
      </c>
      <c s="34" r="R9">
        <v>0</v>
      </c>
      <c s="16" r="S9">
        <f>(P9+Q9)-R9</f>
        <v>2</v>
      </c>
    </row>
    <row r="10">
      <c t="s" s="31" r="A10">
        <v>29</v>
      </c>
      <c t="s" s="31" r="B10">
        <v>30</v>
      </c>
      <c s="31" r="C10">
        <f>COUNTIF(Rosters!F:F,Finances!B10)</f>
        <v>33</v>
      </c>
      <c s="19" r="D10">
        <v>43</v>
      </c>
      <c s="35" r="E10">
        <v>0.178</v>
      </c>
      <c s="25" r="F10">
        <v>0</v>
      </c>
      <c s="25" r="G10">
        <v>0</v>
      </c>
      <c s="19" r="H10">
        <f>D10*F10</f>
        <v>0</v>
      </c>
      <c s="35" r="I10">
        <f>E10*G10</f>
        <v>0</v>
      </c>
      <c s="29" r="J10">
        <f>SUMIF(Rosters!E:E,Finances!B10,Rosters!O:O)</f>
        <v>0</v>
      </c>
      <c s="17" r="K10">
        <f>SUMIF(Rosters!E:E,Finances!B10,Rosters!P:P)</f>
        <v>0</v>
      </c>
      <c s="1" r="L10">
        <f>SUMIF(Rosters!F:F,Finances!B10,Rosters!O:O)*(0.9)</f>
        <v>0</v>
      </c>
      <c s="20" r="M10">
        <f>SUMIF(Rosters!F:F,Finances!B10,Rosters!P:P)</f>
        <v>0</v>
      </c>
      <c s="23" r="N10">
        <f>((D10-J10)+L10)+H10</f>
        <v>43</v>
      </c>
      <c s="7" r="O10">
        <f>((E10-K10)+M10)+I10</f>
        <v>0.178</v>
      </c>
      <c s="16" r="P10">
        <v>0</v>
      </c>
      <c s="32" r="Q10">
        <v>2</v>
      </c>
      <c s="34" r="R10">
        <v>0</v>
      </c>
      <c s="16" r="S10">
        <f>(P10+Q10)-R10</f>
        <v>2</v>
      </c>
    </row>
    <row r="11">
      <c t="s" s="31" r="A11">
        <v>31</v>
      </c>
      <c t="s" s="31" r="B11">
        <v>32</v>
      </c>
      <c s="31" r="C11">
        <f>COUNTIF(Rosters!F:F,Finances!B11)</f>
        <v>33</v>
      </c>
      <c s="19" r="D11">
        <v>42.6</v>
      </c>
      <c s="35" r="E11">
        <v>0.176</v>
      </c>
      <c s="25" r="F11">
        <v>0</v>
      </c>
      <c s="25" r="G11">
        <v>0</v>
      </c>
      <c s="19" r="H11">
        <f>D11*F11</f>
        <v>0</v>
      </c>
      <c s="35" r="I11">
        <f>E11*G11</f>
        <v>0</v>
      </c>
      <c s="29" r="J11">
        <f>SUMIF(Rosters!E:E,Finances!B11,Rosters!O:O)</f>
        <v>53.7</v>
      </c>
      <c s="17" r="K11">
        <f>SUMIF(Rosters!E:E,Finances!B11,Rosters!P:P)</f>
        <v>0.188</v>
      </c>
      <c s="1" r="L11">
        <f>SUMIF(Rosters!F:F,Finances!B11,Rosters!O:O)*(0.9)</f>
        <v>26.01</v>
      </c>
      <c s="20" r="M11">
        <f>SUMIF(Rosters!F:F,Finances!B11,Rosters!P:P)</f>
        <v>0.112</v>
      </c>
      <c s="23" r="N11">
        <f>((D11-J11)+L11)+H11</f>
        <v>14.91</v>
      </c>
      <c s="7" r="O11">
        <f>((E11-K11)+M11)+I11</f>
        <v>0.1</v>
      </c>
      <c s="16" r="P11">
        <v>0</v>
      </c>
      <c s="32" r="Q11">
        <v>2</v>
      </c>
      <c s="34" r="R11">
        <v>0</v>
      </c>
      <c s="16" r="S11">
        <f>(P11+Q11)-R11</f>
        <v>2</v>
      </c>
    </row>
    <row r="12">
      <c t="s" s="31" r="A12">
        <v>33</v>
      </c>
      <c t="s" s="31" r="B12">
        <v>34</v>
      </c>
      <c s="31" r="C12">
        <f>COUNTIF(Rosters!F:F,Finances!B12)</f>
        <v>33</v>
      </c>
      <c s="19" r="D12">
        <v>40.1</v>
      </c>
      <c s="35" r="E12">
        <v>0.165</v>
      </c>
      <c s="25" r="F12">
        <v>0</v>
      </c>
      <c s="25" r="G12">
        <v>0</v>
      </c>
      <c s="19" r="H12">
        <f>D12*F12</f>
        <v>0</v>
      </c>
      <c s="35" r="I12">
        <f>E12*G12</f>
        <v>0</v>
      </c>
      <c s="29" r="J12">
        <f>SUMIF(Rosters!E:E,Finances!B12,Rosters!O:O)</f>
        <v>16.9</v>
      </c>
      <c s="17" r="K12">
        <f>SUMIF(Rosters!E:E,Finances!B12,Rosters!P:P)</f>
        <v>0.04</v>
      </c>
      <c s="1" r="L12">
        <f>SUMIF(Rosters!F:F,Finances!B12,Rosters!O:O)*(0.9)</f>
        <v>0</v>
      </c>
      <c s="20" r="M12">
        <f>SUMIF(Rosters!F:F,Finances!B12,Rosters!P:P)</f>
        <v>0</v>
      </c>
      <c s="23" r="N12">
        <f>((D12-J12)+L12)+H12</f>
        <v>23.2</v>
      </c>
      <c s="7" r="O12">
        <f>((E12-K12)+M12)+I12</f>
        <v>0.125</v>
      </c>
      <c s="16" r="P12">
        <v>0</v>
      </c>
      <c s="32" r="Q12">
        <v>2</v>
      </c>
      <c s="34" r="R12">
        <v>0</v>
      </c>
      <c s="16" r="S12">
        <f>(P12+Q12)-R12</f>
        <v>2</v>
      </c>
    </row>
    <row r="13">
      <c t="s" s="31" r="A13">
        <v>35</v>
      </c>
      <c t="s" s="31" r="B13">
        <v>36</v>
      </c>
      <c s="31" r="C13">
        <f>COUNTIF(Rosters!F:F,Finances!B13)</f>
        <v>33</v>
      </c>
      <c s="19" r="D13">
        <v>31.4</v>
      </c>
      <c s="35" r="E13">
        <v>0.129</v>
      </c>
      <c s="25" r="F13">
        <v>0</v>
      </c>
      <c s="25" r="G13">
        <v>0</v>
      </c>
      <c s="19" r="H13">
        <f>D13*F13</f>
        <v>0</v>
      </c>
      <c s="35" r="I13">
        <f>E13*G13</f>
        <v>0</v>
      </c>
      <c s="29" r="J13">
        <f>SUMIF(Rosters!E:E,Finances!B13,Rosters!O:O)</f>
        <v>0</v>
      </c>
      <c s="17" r="K13">
        <f>SUMIF(Rosters!E:E,Finances!B13,Rosters!P:P)</f>
        <v>0</v>
      </c>
      <c s="1" r="L13">
        <f>SUMIF(Rosters!F:F,Finances!B13,Rosters!O:O)*(0.9)</f>
        <v>0</v>
      </c>
      <c s="20" r="M13">
        <f>SUMIF(Rosters!F:F,Finances!B13,Rosters!P:P)</f>
        <v>0</v>
      </c>
      <c s="23" r="N13">
        <f>((D13-J13)+L13)+H13</f>
        <v>31.4</v>
      </c>
      <c s="7" r="O13">
        <f>((E13-K13)+M13)+I13</f>
        <v>0.129</v>
      </c>
      <c s="16" r="P13">
        <v>0</v>
      </c>
      <c s="32" r="Q13">
        <v>1</v>
      </c>
      <c s="34" r="R13">
        <v>0</v>
      </c>
      <c s="16" r="S13">
        <f>(P13+Q13)-R13</f>
        <v>1</v>
      </c>
    </row>
    <row r="14">
      <c t="s" s="31" r="A14">
        <v>37</v>
      </c>
      <c t="s" s="31" r="B14">
        <v>38</v>
      </c>
      <c s="31" r="C14">
        <f>COUNTIF(Rosters!F:F,Finances!B14)</f>
        <v>33</v>
      </c>
      <c s="19" r="D14">
        <v>28.2</v>
      </c>
      <c s="35" r="E14">
        <v>0.117</v>
      </c>
      <c s="25" r="F14">
        <v>0</v>
      </c>
      <c s="25" r="G14">
        <v>0</v>
      </c>
      <c s="19" r="H14">
        <f>D14*F14</f>
        <v>0</v>
      </c>
      <c s="35" r="I14">
        <f>E14*G14</f>
        <v>0</v>
      </c>
      <c s="29" r="J14">
        <f>SUMIF(Rosters!E:E,Finances!B14,Rosters!O:O)</f>
        <v>0</v>
      </c>
      <c s="17" r="K14">
        <f>SUMIF(Rosters!E:E,Finances!B14,Rosters!P:P)</f>
        <v>0</v>
      </c>
      <c s="1" r="L14">
        <f>SUMIF(Rosters!F:F,Finances!B14,Rosters!O:O)*(0.9)</f>
        <v>0</v>
      </c>
      <c s="20" r="M14">
        <f>SUMIF(Rosters!F:F,Finances!B14,Rosters!P:P)</f>
        <v>0</v>
      </c>
      <c s="23" r="N14">
        <f>((D14-J14)+L14)+H14</f>
        <v>28.2</v>
      </c>
      <c s="7" r="O14">
        <f>((E14-K14)+M14)+I14</f>
        <v>0.117</v>
      </c>
      <c s="16" r="P14">
        <v>0</v>
      </c>
      <c s="32" r="Q14">
        <v>1</v>
      </c>
      <c s="34" r="R14">
        <v>0</v>
      </c>
      <c s="16" r="S14">
        <f>(P14+Q14)-R14</f>
        <v>1</v>
      </c>
    </row>
    <row r="15">
      <c t="s" s="31" r="A15">
        <v>39</v>
      </c>
      <c t="s" s="31" r="B15">
        <v>40</v>
      </c>
      <c s="31" r="C15">
        <f>COUNTIF(Rosters!F:F,Finances!B15)</f>
        <v>33</v>
      </c>
      <c s="19" r="D15">
        <v>25.4</v>
      </c>
      <c s="35" r="E15">
        <v>0.105</v>
      </c>
      <c s="25" r="F15">
        <v>0</v>
      </c>
      <c s="25" r="G15">
        <v>0</v>
      </c>
      <c s="19" r="H15">
        <f>D15*F15</f>
        <v>0</v>
      </c>
      <c s="35" r="I15">
        <f>E15*G15</f>
        <v>0</v>
      </c>
      <c s="29" r="J15">
        <f>SUMIF(Rosters!E:E,Finances!B15,Rosters!O:O)</f>
        <v>5.8</v>
      </c>
      <c s="17" r="K15">
        <f>SUMIF(Rosters!E:E,Finances!B15,Rosters!P:P)</f>
        <v>0.01</v>
      </c>
      <c s="1" r="L15">
        <f>SUMIF(Rosters!F:F,Finances!B15,Rosters!O:O)*(0.9)</f>
        <v>0</v>
      </c>
      <c s="20" r="M15">
        <f>SUMIF(Rosters!F:F,Finances!B15,Rosters!P:P)</f>
        <v>0</v>
      </c>
      <c s="23" r="N15">
        <f>((D15-J15)+L15)+H15</f>
        <v>19.6</v>
      </c>
      <c s="7" r="O15">
        <f>((E15-K15)+M15)+I15</f>
        <v>0.095</v>
      </c>
      <c s="16" r="P15">
        <v>0</v>
      </c>
      <c s="32" r="Q15">
        <v>1</v>
      </c>
      <c s="34" r="R15">
        <v>0</v>
      </c>
      <c s="16" r="S15">
        <f>(P15+Q15)-R15</f>
        <v>1</v>
      </c>
    </row>
    <row r="16">
      <c t="s" s="31" r="A16">
        <v>41</v>
      </c>
      <c t="s" s="31" r="B16">
        <v>42</v>
      </c>
      <c s="31" r="C16">
        <f>COUNTIF(Rosters!F:F,Finances!B16)</f>
        <v>33</v>
      </c>
      <c s="19" r="D16">
        <v>25.2</v>
      </c>
      <c s="35" r="E16">
        <v>0.104</v>
      </c>
      <c s="25" r="F16">
        <v>0</v>
      </c>
      <c s="25" r="G16">
        <v>0</v>
      </c>
      <c s="19" r="H16">
        <f>D16*F16</f>
        <v>0</v>
      </c>
      <c s="35" r="I16">
        <f>E16*G16</f>
        <v>0</v>
      </c>
      <c s="29" r="J16">
        <f>SUMIF(Rosters!E:E,Finances!B16,Rosters!O:O)</f>
        <v>0</v>
      </c>
      <c s="17" r="K16">
        <f>SUMIF(Rosters!E:E,Finances!B16,Rosters!P:P)</f>
        <v>0</v>
      </c>
      <c s="1" r="L16">
        <f>SUMIF(Rosters!F:F,Finances!B16,Rosters!O:O)*(0.9)</f>
        <v>0</v>
      </c>
      <c s="20" r="M16">
        <f>SUMIF(Rosters!F:F,Finances!B16,Rosters!P:P)</f>
        <v>0</v>
      </c>
      <c s="23" r="N16">
        <f>((D16-J16)+L16)+H16</f>
        <v>25.2</v>
      </c>
      <c s="7" r="O16">
        <f>((E16-K16)+M16)+I16</f>
        <v>0.104</v>
      </c>
      <c s="16" r="P16">
        <v>0</v>
      </c>
      <c s="32" r="Q16">
        <v>1</v>
      </c>
      <c s="34" r="R16">
        <v>0</v>
      </c>
      <c s="16" r="S16">
        <f>(P16+Q16)-R16</f>
        <v>1</v>
      </c>
    </row>
    <row r="17">
      <c t="s" s="31" r="A17">
        <v>43</v>
      </c>
      <c t="s" s="31" r="B17">
        <v>44</v>
      </c>
      <c s="31" r="C17">
        <f>COUNTIF(Rosters!F:F,Finances!B17)</f>
        <v>33</v>
      </c>
      <c s="19" r="D17">
        <v>23.7</v>
      </c>
      <c s="35" r="E17">
        <v>0.098</v>
      </c>
      <c s="25" r="F17">
        <v>0</v>
      </c>
      <c s="25" r="G17">
        <v>0</v>
      </c>
      <c s="19" r="H17">
        <f>D17*F17</f>
        <v>0</v>
      </c>
      <c s="35" r="I17">
        <f>E17*G17</f>
        <v>0</v>
      </c>
      <c s="29" r="J17">
        <f>SUMIF(Rosters!E:E,Finances!B17,Rosters!O:O)</f>
        <v>0</v>
      </c>
      <c s="17" r="K17">
        <f>SUMIF(Rosters!E:E,Finances!B17,Rosters!P:P)</f>
        <v>0</v>
      </c>
      <c s="1" r="L17">
        <f>SUMIF(Rosters!F:F,Finances!B17,Rosters!O:O)*(0.9)</f>
        <v>0</v>
      </c>
      <c s="20" r="M17">
        <f>SUMIF(Rosters!F:F,Finances!B17,Rosters!P:P)</f>
        <v>0</v>
      </c>
      <c s="23" r="N17">
        <f>((D17-J17)+L17)+H17</f>
        <v>23.7</v>
      </c>
      <c s="7" r="O17">
        <f>((E17-K17)+M17)+I17</f>
        <v>0.098</v>
      </c>
      <c s="16" r="P17">
        <v>0</v>
      </c>
      <c s="32" r="Q17">
        <v>1</v>
      </c>
      <c s="34" r="R17">
        <v>0</v>
      </c>
      <c s="16" r="S17">
        <f>(P17+Q17)-R17</f>
        <v>1</v>
      </c>
    </row>
    <row r="18">
      <c t="s" s="31" r="A18">
        <v>45</v>
      </c>
      <c t="s" s="31" r="B18">
        <v>46</v>
      </c>
      <c s="31" r="C18">
        <f>COUNTIF(Rosters!F:F,Finances!B18)</f>
        <v>33</v>
      </c>
      <c s="31" r="D18">
        <v>23.4</v>
      </c>
      <c s="31" r="E18">
        <v>0.096</v>
      </c>
      <c s="25" r="F18">
        <v>0</v>
      </c>
      <c s="25" r="G18">
        <v>0</v>
      </c>
      <c s="19" r="H18">
        <f>D18*F18</f>
        <v>0</v>
      </c>
      <c s="35" r="I18">
        <f>E18*G18</f>
        <v>0</v>
      </c>
      <c s="29" r="J18">
        <f>SUMIF(Rosters!E:E,Finances!B18,Rosters!O:O)</f>
        <v>4</v>
      </c>
      <c s="17" r="K18">
        <f>SUMIF(Rosters!E:E,Finances!B18,Rosters!P:P)</f>
        <v>0.021</v>
      </c>
      <c s="1" r="L18">
        <f>SUMIF(Rosters!F:F,Finances!B18,Rosters!O:O)*(0.9)</f>
        <v>0</v>
      </c>
      <c s="20" r="M18">
        <f>SUMIF(Rosters!F:F,Finances!B18,Rosters!P:P)</f>
        <v>0</v>
      </c>
      <c s="23" r="N18">
        <f>((D18-J18)+L18)+H18</f>
        <v>19.4</v>
      </c>
      <c s="7" r="O18">
        <f>((E18-K18)+M18)+I18</f>
        <v>0.075</v>
      </c>
      <c s="16" r="P18">
        <v>0</v>
      </c>
      <c s="32" r="Q18">
        <v>1</v>
      </c>
      <c s="34" r="R18">
        <v>0</v>
      </c>
      <c s="16" r="S18">
        <f>(P18+Q18)-R18</f>
        <v>1</v>
      </c>
    </row>
    <row s="42" customFormat="1" r="19">
      <c t="s" s="31" r="A19">
        <v>47</v>
      </c>
      <c t="s" s="31" r="B19">
        <v>48</v>
      </c>
      <c s="31" r="C19">
        <f>COUNTIF(Rosters!F:F,Finances!B19)</f>
        <v>33</v>
      </c>
      <c s="31" r="D19">
        <v>22</v>
      </c>
      <c s="31" r="E19">
        <v>0.091</v>
      </c>
      <c s="25" r="F19">
        <v>0</v>
      </c>
      <c s="25" r="G19">
        <v>0</v>
      </c>
      <c s="19" r="H19">
        <f>D19*F19</f>
        <v>0</v>
      </c>
      <c s="35" r="I19">
        <f>E19*G19</f>
        <v>0</v>
      </c>
      <c s="29" r="J19">
        <f>SUMIF(Rosters!E:E,Finances!B19,Rosters!O:O)</f>
        <v>0</v>
      </c>
      <c s="17" r="K19">
        <f>SUMIF(Rosters!E:E,Finances!B19,Rosters!P:P)</f>
        <v>0</v>
      </c>
      <c s="1" r="L19">
        <f>SUMIF(Rosters!F:F,Finances!B19,Rosters!O:O)*(0.9)</f>
        <v>0</v>
      </c>
      <c s="20" r="M19">
        <f>SUMIF(Rosters!F:F,Finances!B19,Rosters!P:P)</f>
        <v>0</v>
      </c>
      <c s="23" r="N19">
        <f>((D19-J19)+L19)+H19</f>
        <v>22</v>
      </c>
      <c s="7" r="O19">
        <f>((E19-K19)+M19)+I19</f>
        <v>0.091</v>
      </c>
      <c s="16" r="P19">
        <v>0</v>
      </c>
      <c s="32" r="Q19">
        <v>1</v>
      </c>
      <c s="34" r="R19">
        <v>0</v>
      </c>
      <c s="16" r="S19">
        <f>(P19+Q19)-R19</f>
        <v>1</v>
      </c>
    </row>
    <row r="20">
      <c t="s" s="31" r="A20">
        <v>49</v>
      </c>
      <c t="s" s="31" r="B20">
        <v>50</v>
      </c>
      <c s="31" r="C20">
        <f>COUNTIF(Rosters!F:F,Finances!B20)</f>
        <v>33</v>
      </c>
      <c s="31" r="D20">
        <v>19.8</v>
      </c>
      <c s="31" r="E20">
        <v>0.082</v>
      </c>
      <c s="25" r="F20">
        <v>0</v>
      </c>
      <c s="25" r="G20">
        <v>0</v>
      </c>
      <c s="19" r="H20">
        <f>D20*F20</f>
        <v>0</v>
      </c>
      <c s="35" r="I20">
        <f>E20*G20</f>
        <v>0</v>
      </c>
      <c s="29" r="J20">
        <f>SUMIF(Rosters!E:E,Finances!B20,Rosters!O:O)</f>
        <v>11.4</v>
      </c>
      <c s="17" r="K20">
        <f>SUMIF(Rosters!E:E,Finances!B20,Rosters!P:P)</f>
        <v>0.025</v>
      </c>
      <c s="1" r="L20">
        <f>SUMIF(Rosters!F:F,Finances!B20,Rosters!O:O)*(0.9)</f>
        <v>0.63</v>
      </c>
      <c s="20" r="M20">
        <f>SUMIF(Rosters!F:F,Finances!B20,Rosters!P:P)</f>
        <v>0.008</v>
      </c>
      <c s="23" r="N20">
        <f>((D20-J20)+L20)+H20</f>
        <v>9.03</v>
      </c>
      <c s="7" r="O20">
        <f>((E20-K20)+M20)+I20</f>
        <v>0.065</v>
      </c>
      <c s="16" r="P20">
        <v>0</v>
      </c>
      <c s="32" r="Q20">
        <v>1</v>
      </c>
      <c s="34" r="R20">
        <v>0</v>
      </c>
      <c s="16" r="S20">
        <f>(P20+Q20)-R20</f>
        <v>1</v>
      </c>
    </row>
    <row r="21">
      <c t="s" s="31" r="A21">
        <v>51</v>
      </c>
      <c t="s" s="31" r="B21">
        <v>52</v>
      </c>
      <c s="31" r="C21">
        <f>COUNTIF(Rosters!F:F,Finances!B21)</f>
        <v>33</v>
      </c>
      <c s="31" r="D21">
        <v>16.2</v>
      </c>
      <c s="31" r="E21">
        <v>0.067</v>
      </c>
      <c s="25" r="F21">
        <v>0</v>
      </c>
      <c s="25" r="G21">
        <v>0</v>
      </c>
      <c s="19" r="H21">
        <f>D21*F21</f>
        <v>0</v>
      </c>
      <c s="35" r="I21">
        <f>E21*G21</f>
        <v>0</v>
      </c>
      <c s="29" r="J21">
        <f>SUMIF(Rosters!E:E,Finances!B21,Rosters!O:O)</f>
        <v>0</v>
      </c>
      <c s="17" r="K21">
        <f>SUMIF(Rosters!E:E,Finances!B21,Rosters!P:P)</f>
        <v>0</v>
      </c>
      <c s="1" r="L21">
        <f>SUMIF(Rosters!F:F,Finances!B21,Rosters!O:O)*(0.9)</f>
        <v>0</v>
      </c>
      <c s="20" r="M21">
        <f>SUMIF(Rosters!F:F,Finances!B21,Rosters!P:P)</f>
        <v>0</v>
      </c>
      <c s="23" r="N21">
        <f>((D21-J21)+L21)+H21</f>
        <v>16.2</v>
      </c>
      <c s="7" r="O21">
        <f>((E21-K21)+M21)+I21</f>
        <v>0.067</v>
      </c>
      <c s="16" r="P21">
        <v>0</v>
      </c>
      <c s="32" r="Q21">
        <v>1</v>
      </c>
      <c s="34" r="R21">
        <v>0</v>
      </c>
      <c s="16" r="S21">
        <f>(P21+Q21)-R21</f>
        <v>1</v>
      </c>
    </row>
    <row r="22">
      <c t="s" s="31" r="A22">
        <v>53</v>
      </c>
      <c t="s" s="31" r="B22">
        <v>54</v>
      </c>
      <c s="31" r="C22">
        <f>COUNTIF(Rosters!F:F,Finances!B22)</f>
        <v>33</v>
      </c>
      <c s="31" r="D22">
        <v>17.5</v>
      </c>
      <c s="31" r="E22">
        <v>0.072</v>
      </c>
      <c s="25" r="F22">
        <v>0</v>
      </c>
      <c s="25" r="G22">
        <v>0</v>
      </c>
      <c s="19" r="H22">
        <f>D22*F22</f>
        <v>0</v>
      </c>
      <c s="35" r="I22">
        <f>E22*G22</f>
        <v>0</v>
      </c>
      <c s="29" r="J22">
        <f>SUMIF(Rosters!E:E,Finances!B22,Rosters!O:O)</f>
        <v>6.7</v>
      </c>
      <c s="17" r="K22">
        <f>SUMIF(Rosters!E:E,Finances!B22,Rosters!P:P)</f>
        <v>0.028</v>
      </c>
      <c s="1" r="L22">
        <f>SUMIF(Rosters!F:F,Finances!B22,Rosters!O:O)*(0.9)</f>
        <v>0</v>
      </c>
      <c s="20" r="M22">
        <f>SUMIF(Rosters!F:F,Finances!B22,Rosters!P:P)</f>
        <v>0</v>
      </c>
      <c s="23" r="N22">
        <f>((D22-J22)+L22)+H22</f>
        <v>10.8</v>
      </c>
      <c s="7" r="O22">
        <f>((E22-K22)+M22)+I22</f>
        <v>0.044</v>
      </c>
      <c s="16" r="P22">
        <v>0</v>
      </c>
      <c s="32" r="Q22">
        <v>1</v>
      </c>
      <c s="34" r="R22">
        <v>0</v>
      </c>
      <c s="16" r="S22">
        <f>(P22+Q22)-R22</f>
        <v>1</v>
      </c>
    </row>
  </sheetData>
  <mergeCells count="6">
    <mergeCell ref="D1:E1"/>
    <mergeCell ref="F1:I1"/>
    <mergeCell ref="J1:K1"/>
    <mergeCell ref="L1:M1"/>
    <mergeCell ref="N1:O1"/>
    <mergeCell ref="P1:S1"/>
  </mergeCells>
  <conditionalFormatting sqref="C3 C4 C5 C6 C7 C8 C9 C10 C11 C12 C13 C14 C15 C16 C17 C18 C19 C20 C21 C22">
    <cfRule priority="1" type="cellIs" operator="lessThan" stopIfTrue="1" dxfId="0">
      <formula>17</formula>
    </cfRule>
    <cfRule priority="2" type="cellIs" operator="greaterThan" stopIfTrue="1" dxfId="0">
      <formula>40</formula>
    </cfRule>
  </conditionalFormatting>
  <conditionalFormatting sqref="N3 O3 P3 Q3 R3 S3 N4 O4 P4 Q4 R4 S4 N5 O5 P5 Q5 R5 S5 N6 O6 P6 Q6 R6 S6 N7 O7 P7 Q7 R7 S7 N8 O8 P8 Q8 R8 S8 N9 O9 P9 Q9 R9 S9 N10 O10 P10 Q10 R10 S10 N11 O11 P11 Q11 R11 S11 N12 O12 P12 Q12 R12 S12 N13 O13 P13 Q13 R13 S13 N14 O14 P14 Q14 R14 S14 N15 O15 P15 Q15 R15 S15 N16 O16 P16 Q16 R16 S16 N17 O17 P17 Q17 R17 S17 N18 O18 P18 Q18 R18 S18 N19 O19 P19 Q19 R19 S19 N20 O20 P20 Q20 R20 S20 N21 O21 P21 Q21 R21 S21 N22 O22 P22 Q22 R22 S22">
    <cfRule priority="1" type="cellIs" operator="lessThan" stopIfTrue="1" dxfId="0">
      <formula>0</formula>
    </cfRule>
  </conditionalFormatting>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23.0" defaultRowHeight="15.0"/>
  <cols>
    <col min="1" customWidth="1" max="1" style="42" width="15.29"/>
    <col min="2" customWidth="1" max="2" style="42" width="7.57"/>
    <col min="3" customWidth="1" max="3" style="42" width="6.43"/>
    <col min="4" customWidth="1" max="4" style="42" width="11.71"/>
    <col min="5" customWidth="1" max="6" style="42" width="15.14"/>
    <col min="7" customWidth="1" max="7" style="42" width="10.29"/>
    <col min="8" customWidth="1" max="8" style="42" width="25.14"/>
    <col min="9" customWidth="1" max="9" style="42" width="7.14"/>
    <col min="10" customWidth="1" max="10" style="42" width="7.29"/>
    <col min="11" customWidth="1" max="11" style="42" width="10.29"/>
    <col min="12" customWidth="1" max="12" style="42" width="7.71"/>
    <col min="13" customWidth="1" max="14" style="42" width="9.57"/>
    <col min="15" customWidth="1" max="15" style="42" width="4.57"/>
    <col min="16" customWidth="1" max="16" style="42" width="5.86"/>
    <col min="17" customWidth="1" max="17" style="42" width="8.43"/>
  </cols>
  <sheetData>
    <row r="1">
      <c t="s" s="10" r="A1">
        <v>6</v>
      </c>
      <c t="s" s="10" r="B1">
        <v>55</v>
      </c>
      <c t="s" s="10" r="C1">
        <v>56</v>
      </c>
      <c t="s" s="10" r="D1">
        <v>57</v>
      </c>
      <c t="s" s="10" r="E1">
        <v>58</v>
      </c>
      <c t="s" s="10" r="F1">
        <v>59</v>
      </c>
      <c t="s" s="10" r="G1">
        <v>60</v>
      </c>
      <c t="s" s="36" r="H1">
        <v>61</v>
      </c>
      <c t="s" s="10" r="I1">
        <v>62</v>
      </c>
      <c t="s" s="10" r="J1">
        <v>63</v>
      </c>
      <c t="s" s="10" r="K1">
        <v>64</v>
      </c>
      <c t="s" s="10" r="L1">
        <v>65</v>
      </c>
      <c t="s" s="22" r="M1">
        <v>66</v>
      </c>
      <c t="s" s="10" r="N1">
        <v>10</v>
      </c>
      <c t="s" s="10" r="O1">
        <v>67</v>
      </c>
      <c t="s" s="5" r="P1">
        <v>68</v>
      </c>
      <c t="s" s="10" r="Q1">
        <v>69</v>
      </c>
    </row>
    <row r="2">
      <c t="s" s="42" r="A2">
        <v>19</v>
      </c>
      <c s="42" r="B2">
        <v>1</v>
      </c>
      <c s="21" r="C2">
        <v>1</v>
      </c>
      <c t="s" s="21" r="D2">
        <v>70</v>
      </c>
      <c t="s" s="21" r="E2">
        <v>20</v>
      </c>
      <c t="s" s="21" r="F2">
        <v>20</v>
      </c>
      <c t="str" s="30" r="G2">
        <f>HYPERLINK("http://sofifa.com/en/14w/p/n/37","Pol")</f>
        <v>Pol</v>
      </c>
      <c t="str" s="30" r="H2">
        <f>HYPERLINK("http://sofifa.com/en/14w/p/148840-wojciech-szczesny","W. Szczęsny")</f>
        <v>W. Szczęsny</v>
      </c>
      <c s="21" r="I2">
        <v>79</v>
      </c>
      <c t="s" s="21" r="J2">
        <v>70</v>
      </c>
      <c t="s" s="21" r="K2">
        <v>71</v>
      </c>
      <c s="21" r="L2">
        <v>23</v>
      </c>
      <c s="42" r="M2">
        <v>6.3</v>
      </c>
      <c s="42" r="N2">
        <v>0.021</v>
      </c>
      <c s="21" r="O2"/>
      <c s="42" r="P2">
        <f>IF((O2&gt;0),N2,0)</f>
        <v>0</v>
      </c>
      <c s="42" r="Q2"/>
    </row>
    <row r="3">
      <c t="s" s="42" r="A3">
        <v>19</v>
      </c>
      <c s="42" r="B3">
        <v>2</v>
      </c>
      <c s="21" r="C3">
        <v>25</v>
      </c>
      <c t="s" s="21" r="D3">
        <v>72</v>
      </c>
      <c t="s" s="21" r="E3">
        <v>20</v>
      </c>
      <c t="s" s="21" r="F3">
        <v>20</v>
      </c>
      <c t="str" s="30" r="G3">
        <f>HYPERLINK("http://sofifa.com/en/14w/p/n/14","Eng")</f>
        <v>Eng</v>
      </c>
      <c t="str" s="30" r="H3">
        <f>HYPERLINK("http://sofifa.com/en/14w/p/149501-carl-jenkinson","C. Jenkinson")</f>
        <v>C. Jenkinson</v>
      </c>
      <c s="21" r="I3">
        <v>72</v>
      </c>
      <c t="s" s="21" r="J3">
        <v>72</v>
      </c>
      <c t="s" s="21" r="K3">
        <v>73</v>
      </c>
      <c s="21" r="L3">
        <v>21</v>
      </c>
      <c s="42" r="M3">
        <v>2.7</v>
      </c>
      <c s="42" r="N3">
        <v>0.008</v>
      </c>
      <c s="42" r="O3"/>
      <c s="42" r="P3">
        <f>IF((O3&gt;0),N3,0)</f>
        <v>0</v>
      </c>
      <c s="42" r="Q3"/>
    </row>
    <row r="4">
      <c t="s" s="42" r="A4">
        <v>19</v>
      </c>
      <c s="42" r="B4">
        <v>3</v>
      </c>
      <c s="21" r="C4">
        <v>4</v>
      </c>
      <c t="s" s="21" r="D4">
        <v>74</v>
      </c>
      <c t="s" s="21" r="E4">
        <v>20</v>
      </c>
      <c t="s" s="21" r="F4">
        <v>20</v>
      </c>
      <c t="str" s="30" r="G4">
        <f>HYPERLINK("http://sofifa.com/en/14w/p/n/21","Ger")</f>
        <v>Ger</v>
      </c>
      <c t="str" s="30" r="H4">
        <f>HYPERLINK("http://sofifa.com/en/14w/p/146813-per-mertesacker","P. Mertesacker")</f>
        <v>P. Mertesacker</v>
      </c>
      <c s="21" r="I4">
        <v>81</v>
      </c>
      <c t="s" s="21" r="J4">
        <v>75</v>
      </c>
      <c t="s" s="21" r="K4">
        <v>76</v>
      </c>
      <c s="21" r="L4">
        <v>28</v>
      </c>
      <c s="42" r="M4">
        <v>12.7</v>
      </c>
      <c s="42" r="N4">
        <v>0.042</v>
      </c>
      <c s="42" r="O4"/>
      <c s="42" r="P4">
        <f>IF((O4&gt;0),N4,0)</f>
        <v>0</v>
      </c>
      <c s="42" r="Q4"/>
    </row>
    <row r="5">
      <c t="s" s="42" r="A5">
        <v>19</v>
      </c>
      <c s="42" r="B5">
        <v>4</v>
      </c>
      <c s="21" r="C5">
        <v>6</v>
      </c>
      <c t="s" s="21" r="D5">
        <v>77</v>
      </c>
      <c t="s" s="21" r="E5">
        <v>20</v>
      </c>
      <c t="s" s="21" r="F5">
        <v>20</v>
      </c>
      <c t="str" s="30" r="G5">
        <f>HYPERLINK("http://sofifa.com/en/14w/p/n/18","Fra")</f>
        <v>Fra</v>
      </c>
      <c t="str" s="30" r="H5">
        <f>HYPERLINK("http://sofifa.com/en/14w/p/147159-laurent-koscielny","L. Koscielny")</f>
        <v>L. Koscielny</v>
      </c>
      <c s="21" r="I5">
        <v>81</v>
      </c>
      <c t="s" s="21" r="J5">
        <v>75</v>
      </c>
      <c t="s" s="21" r="K5">
        <v>73</v>
      </c>
      <c s="21" r="L5">
        <v>27</v>
      </c>
      <c s="42" r="M5">
        <v>11.1</v>
      </c>
      <c s="42" r="N5">
        <v>0.04</v>
      </c>
      <c s="42" r="O5"/>
      <c s="42" r="P5">
        <f>IF((O5&gt;0),N5,0)</f>
        <v>0</v>
      </c>
      <c s="42" r="Q5"/>
    </row>
    <row r="6">
      <c t="s" s="42" r="A6">
        <v>19</v>
      </c>
      <c s="42" r="B6">
        <v>5</v>
      </c>
      <c s="21" r="C6">
        <v>28</v>
      </c>
      <c t="s" s="21" r="D6">
        <v>78</v>
      </c>
      <c t="s" s="21" r="E6">
        <v>20</v>
      </c>
      <c t="s" s="21" r="F6">
        <v>20</v>
      </c>
      <c t="str" s="30" r="G6">
        <f>HYPERLINK("http://sofifa.com/en/14w/p/n/14","Eng")</f>
        <v>Eng</v>
      </c>
      <c t="str" s="30" r="H6">
        <f>HYPERLINK("http://sofifa.com/en/14w/p/148636-kieran-gibbs","K. Gibbs")</f>
        <v>K. Gibbs</v>
      </c>
      <c s="21" r="I6">
        <v>78</v>
      </c>
      <c t="s" s="21" r="J6">
        <v>78</v>
      </c>
      <c t="s" s="21" r="K6">
        <v>79</v>
      </c>
      <c s="21" r="L6">
        <v>23</v>
      </c>
      <c s="42" r="M6">
        <v>6.3</v>
      </c>
      <c s="42" r="N6">
        <v>0.018</v>
      </c>
      <c s="42" r="O6"/>
      <c s="42" r="P6">
        <f>IF((O6&gt;0),N6,0)</f>
        <v>0</v>
      </c>
      <c s="42" r="Q6"/>
    </row>
    <row r="7">
      <c t="s" s="42" r="A7">
        <v>19</v>
      </c>
      <c s="42" r="B7">
        <v>6</v>
      </c>
      <c s="21" r="C7">
        <v>20</v>
      </c>
      <c t="s" s="21" r="D7">
        <v>80</v>
      </c>
      <c t="s" s="21" r="E7">
        <v>20</v>
      </c>
      <c t="s" s="21" r="F7">
        <v>20</v>
      </c>
      <c t="str" s="30" r="G7">
        <f>HYPERLINK("http://sofifa.com/en/14w/p/n/18","Fra")</f>
        <v>Fra</v>
      </c>
      <c t="str" s="30" r="H7">
        <f>HYPERLINK("http://sofifa.com/en/14w/p/146607-mathieu-flamini","M. Flamini")</f>
        <v>M. Flamini</v>
      </c>
      <c s="21" r="I7">
        <v>77</v>
      </c>
      <c t="s" s="21" r="J7">
        <v>81</v>
      </c>
      <c t="s" s="21" r="K7">
        <v>82</v>
      </c>
      <c s="21" r="L7">
        <v>29</v>
      </c>
      <c s="42" r="M7">
        <v>5</v>
      </c>
      <c s="42" r="N7">
        <v>0.018</v>
      </c>
      <c s="42" r="O7"/>
      <c s="42" r="P7">
        <f>IF((O7&gt;0),N7,0)</f>
        <v>0</v>
      </c>
      <c s="42" r="Q7"/>
    </row>
    <row r="8">
      <c t="s" s="42" r="A8">
        <v>19</v>
      </c>
      <c s="42" r="B8">
        <v>7</v>
      </c>
      <c s="21" r="C8">
        <v>16</v>
      </c>
      <c t="s" s="21" r="D8">
        <v>83</v>
      </c>
      <c t="s" s="21" r="E8">
        <v>20</v>
      </c>
      <c t="s" s="21" r="F8">
        <v>20</v>
      </c>
      <c t="str" s="30" r="G8">
        <f>HYPERLINK("http://sofifa.com/en/14w/p/n/50","Wal")</f>
        <v>Wal</v>
      </c>
      <c t="str" s="30" r="H8">
        <f>HYPERLINK("http://sofifa.com/en/14w/p/149092-aaron-ramsey","A. Ramsey")</f>
        <v>A. Ramsey</v>
      </c>
      <c s="21" r="I8">
        <v>78</v>
      </c>
      <c t="s" s="21" r="J8">
        <v>81</v>
      </c>
      <c t="s" s="21" r="K8">
        <v>82</v>
      </c>
      <c s="21" r="L8">
        <v>22</v>
      </c>
      <c s="42" r="M8">
        <v>7.3</v>
      </c>
      <c s="42" r="N8">
        <v>0.017</v>
      </c>
      <c s="42" r="O8"/>
      <c s="42" r="P8">
        <f>IF((O8&gt;0),N8,0)</f>
        <v>0</v>
      </c>
      <c s="42" r="Q8"/>
    </row>
    <row r="9">
      <c t="s" s="42" r="A9">
        <v>19</v>
      </c>
      <c s="42" r="B9">
        <v>8</v>
      </c>
      <c s="21" r="C9">
        <v>44</v>
      </c>
      <c t="s" s="21" r="D9">
        <v>84</v>
      </c>
      <c t="s" s="21" r="E9">
        <v>20</v>
      </c>
      <c t="s" s="21" r="F9">
        <v>20</v>
      </c>
      <c t="str" s="30" r="G9">
        <f>HYPERLINK("http://sofifa.com/en/14w/p/n/21","Ger")</f>
        <v>Ger</v>
      </c>
      <c t="str" s="30" r="H9">
        <f>HYPERLINK("http://sofifa.com/en/14w/p/150753-serge-gnabry","S. Gnabry")</f>
        <v>S. Gnabry</v>
      </c>
      <c s="21" r="I9">
        <v>68</v>
      </c>
      <c t="s" s="21" r="J9">
        <v>85</v>
      </c>
      <c t="s" s="21" r="K9">
        <v>86</v>
      </c>
      <c s="21" r="L9">
        <v>17</v>
      </c>
      <c s="42" r="M9">
        <v>2</v>
      </c>
      <c s="42" r="N9">
        <v>0.004</v>
      </c>
      <c s="42" r="O9"/>
      <c s="42" r="P9">
        <f>IF((O9&gt;0),N9,0)</f>
        <v>0</v>
      </c>
      <c s="42" r="Q9"/>
    </row>
    <row r="10">
      <c t="s" s="42" r="A10">
        <v>19</v>
      </c>
      <c s="42" r="B10">
        <v>9</v>
      </c>
      <c s="21" r="C10">
        <v>10</v>
      </c>
      <c t="s" s="21" r="D10">
        <v>87</v>
      </c>
      <c t="s" s="21" r="E10">
        <v>20</v>
      </c>
      <c t="s" s="21" r="F10">
        <v>20</v>
      </c>
      <c t="str" s="30" r="G10">
        <f>HYPERLINK("http://sofifa.com/en/14w/p/n/14","Eng")</f>
        <v>Eng</v>
      </c>
      <c t="str" s="30" r="H10">
        <f>HYPERLINK("http://sofifa.com/en/14w/p/149463-jack-wilshere","J. Wilshere")</f>
        <v>J. Wilshere</v>
      </c>
      <c s="21" r="I10">
        <v>82</v>
      </c>
      <c t="s" s="21" r="J10">
        <v>81</v>
      </c>
      <c t="s" s="21" r="K10">
        <v>86</v>
      </c>
      <c s="21" r="L10">
        <v>21</v>
      </c>
      <c s="42" r="M10">
        <v>15.5</v>
      </c>
      <c s="42" r="N10">
        <v>0.047</v>
      </c>
      <c s="42" r="O10"/>
      <c s="42" r="P10">
        <f>IF((O10&gt;0),N10,0)</f>
        <v>0</v>
      </c>
      <c s="42" r="Q10"/>
    </row>
    <row r="11">
      <c t="s" s="42" r="A11">
        <v>19</v>
      </c>
      <c s="42" r="B11">
        <v>10</v>
      </c>
      <c s="21" r="C11">
        <v>11</v>
      </c>
      <c t="s" s="21" r="D11">
        <v>88</v>
      </c>
      <c t="s" s="21" r="E11">
        <v>20</v>
      </c>
      <c t="s" s="21" r="F11">
        <v>20</v>
      </c>
      <c t="str" s="30" r="G11">
        <f>HYPERLINK("http://sofifa.com/en/14w/p/n/21","Ger")</f>
        <v>Ger</v>
      </c>
      <c t="str" s="30" r="H11">
        <f>HYPERLINK("http://sofifa.com/en/14w/p/148290-mesut-ozil","M. Özil")</f>
        <v>M. Özil</v>
      </c>
      <c s="21" r="I11">
        <v>87</v>
      </c>
      <c t="s" s="21" r="J11">
        <v>88</v>
      </c>
      <c t="s" s="21" r="K11">
        <v>89</v>
      </c>
      <c s="21" r="L11">
        <v>24</v>
      </c>
      <c s="42" r="M11">
        <v>37.3</v>
      </c>
      <c s="42" r="N11">
        <v>0.17</v>
      </c>
      <c s="42" r="O11"/>
      <c s="42" r="P11">
        <f>IF((O11&gt;0),N11,0)</f>
        <v>0</v>
      </c>
      <c s="42" r="Q11"/>
    </row>
    <row r="12">
      <c t="s" s="42" r="A12">
        <v>19</v>
      </c>
      <c s="42" r="B12">
        <v>11</v>
      </c>
      <c s="21" r="C12">
        <v>12</v>
      </c>
      <c t="s" s="21" r="D12">
        <v>90</v>
      </c>
      <c t="s" s="21" r="E12">
        <v>20</v>
      </c>
      <c t="s" s="21" r="F12">
        <v>20</v>
      </c>
      <c t="str" s="30" r="G12">
        <f>HYPERLINK("http://sofifa.com/en/14w/p/n/18","Fra")</f>
        <v>Fra</v>
      </c>
      <c t="str" s="30" r="H12">
        <f>HYPERLINK("http://sofifa.com/en/14w/p/147544-olivier-giroud","O. Giroud")</f>
        <v>O. Giroud</v>
      </c>
      <c s="21" r="I12">
        <v>81</v>
      </c>
      <c t="s" s="21" r="J12">
        <v>90</v>
      </c>
      <c t="s" s="21" r="K12">
        <v>91</v>
      </c>
      <c s="21" r="L12">
        <v>26</v>
      </c>
      <c s="42" r="M12">
        <v>13.7</v>
      </c>
      <c s="42" r="N12">
        <v>0.04</v>
      </c>
      <c s="42" r="O12"/>
      <c s="42" r="P12">
        <f>IF((O12&gt;0),N12,0)</f>
        <v>0</v>
      </c>
      <c s="42" r="Q12"/>
    </row>
    <row r="13">
      <c t="s" s="42" r="A13">
        <v>19</v>
      </c>
      <c s="42" r="B13">
        <v>12</v>
      </c>
      <c s="21" r="C13">
        <v>31</v>
      </c>
      <c t="s" s="21" r="D13">
        <v>92</v>
      </c>
      <c t="s" s="21" r="E13">
        <v>20</v>
      </c>
      <c t="s" s="21" r="F13">
        <v>20</v>
      </c>
      <c t="str" s="30" r="G13">
        <f>HYPERLINK("http://sofifa.com/en/14w/p/n/163","Jap")</f>
        <v>Jap</v>
      </c>
      <c t="str" s="30" r="H13">
        <f>HYPERLINK("http://sofifa.com/en/14w/p/149811-ryo-miyaichi","R. Miyaichi")</f>
        <v>R. Miyaichi</v>
      </c>
      <c s="21" r="I13">
        <v>70</v>
      </c>
      <c t="s" s="21" r="J13">
        <v>85</v>
      </c>
      <c t="s" s="21" r="K13">
        <v>89</v>
      </c>
      <c s="21" r="L13">
        <v>20</v>
      </c>
      <c s="42" r="M13">
        <v>2.5</v>
      </c>
      <c s="42" r="N13">
        <v>0.006</v>
      </c>
      <c s="42" r="O13"/>
      <c s="42" r="P13">
        <f>IF((O13&gt;0),N13,0)</f>
        <v>0</v>
      </c>
      <c s="42" r="Q13"/>
    </row>
    <row r="14">
      <c t="s" s="42" r="A14">
        <v>19</v>
      </c>
      <c s="42" r="B14">
        <v>13</v>
      </c>
      <c s="21" r="C14">
        <v>17</v>
      </c>
      <c t="s" s="21" r="D14">
        <v>92</v>
      </c>
      <c t="s" s="21" r="E14">
        <v>20</v>
      </c>
      <c t="s" s="21" r="F14">
        <v>20</v>
      </c>
      <c t="str" s="30" r="G14">
        <f>HYPERLINK("http://sofifa.com/en/14w/p/n/45","Spa")</f>
        <v>Spa</v>
      </c>
      <c t="str" s="30" r="H14">
        <f>HYPERLINK("http://sofifa.com/en/14w/p/147328-ignacio-monreal-eraso","Monreal")</f>
        <v>Monreal</v>
      </c>
      <c s="21" r="I14">
        <v>77</v>
      </c>
      <c t="s" s="21" r="J14">
        <v>78</v>
      </c>
      <c t="s" s="21" r="K14">
        <v>82</v>
      </c>
      <c s="21" r="L14">
        <v>27</v>
      </c>
      <c s="42" r="M14">
        <v>5.2</v>
      </c>
      <c s="42" r="N14">
        <v>0.017</v>
      </c>
      <c s="42" r="O14"/>
      <c s="42" r="P14">
        <f>IF((O14&gt;0),N14,0)</f>
        <v>0</v>
      </c>
      <c s="42" r="Q14"/>
    </row>
    <row r="15">
      <c t="s" s="42" r="A15">
        <v>19</v>
      </c>
      <c s="42" r="B15">
        <v>14</v>
      </c>
      <c s="21" r="C15">
        <v>7</v>
      </c>
      <c t="s" s="21" r="D15">
        <v>92</v>
      </c>
      <c t="s" s="21" r="E15">
        <v>20</v>
      </c>
      <c t="s" s="21" r="F15">
        <v>20</v>
      </c>
      <c t="str" s="30" r="G15">
        <f>HYPERLINK("http://sofifa.com/en/14w/p/n/12","Cze")</f>
        <v>Cze</v>
      </c>
      <c t="str" s="30" r="H15">
        <f>HYPERLINK("http://sofifa.com/en/14w/p/145357-tomas-rosicky","T. Rosický")</f>
        <v>T. Rosický</v>
      </c>
      <c s="21" r="I15">
        <v>80</v>
      </c>
      <c t="s" s="21" r="J15">
        <v>88</v>
      </c>
      <c t="s" s="21" r="K15">
        <v>82</v>
      </c>
      <c s="21" r="L15">
        <v>32</v>
      </c>
      <c s="42" r="M15">
        <v>8.3</v>
      </c>
      <c s="42" r="N15">
        <v>0.036</v>
      </c>
      <c s="42" r="O15"/>
      <c s="42" r="P15">
        <f>IF((O15&gt;0),N15,0)</f>
        <v>0</v>
      </c>
      <c s="42" r="Q15"/>
    </row>
    <row r="16">
      <c t="s" s="42" r="A16">
        <v>19</v>
      </c>
      <c s="42" r="B16">
        <v>15</v>
      </c>
      <c s="21" r="C16">
        <v>13</v>
      </c>
      <c t="s" s="21" r="D16">
        <v>92</v>
      </c>
      <c t="s" s="21" r="E16">
        <v>20</v>
      </c>
      <c t="s" s="21" r="F16">
        <v>20</v>
      </c>
      <c t="str" s="30" r="G16">
        <f>HYPERLINK("http://sofifa.com/en/14w/p/n/27","Ita")</f>
        <v>Ita</v>
      </c>
      <c t="str" s="30" r="H16">
        <f>HYPERLINK("http://sofifa.com/en/14w/p/147241-emiliano-viviano","E. Viviano")</f>
        <v>E. Viviano</v>
      </c>
      <c s="21" r="I16">
        <v>78</v>
      </c>
      <c t="s" s="21" r="J16">
        <v>70</v>
      </c>
      <c t="s" s="21" r="K16">
        <v>71</v>
      </c>
      <c s="21" r="L16">
        <v>27</v>
      </c>
      <c s="42" r="M16">
        <v>5.2</v>
      </c>
      <c s="42" r="N16">
        <v>0.019</v>
      </c>
      <c s="42" r="O16"/>
      <c s="42" r="P16">
        <f>IF((O16&gt;0),N16,0)</f>
        <v>0</v>
      </c>
      <c s="42" r="Q16"/>
    </row>
    <row r="17">
      <c t="s" s="42" r="A17">
        <v>19</v>
      </c>
      <c s="42" r="B17">
        <v>16</v>
      </c>
      <c s="21" r="C17">
        <v>23</v>
      </c>
      <c t="s" s="21" r="D17">
        <v>92</v>
      </c>
      <c t="s" s="21" r="E17">
        <v>20</v>
      </c>
      <c t="s" s="21" r="F17">
        <v>20</v>
      </c>
      <c t="str" s="30" r="G17">
        <f>HYPERLINK("http://sofifa.com/en/14w/p/n/13","Den")</f>
        <v>Den</v>
      </c>
      <c t="str" s="30" r="H17">
        <f>HYPERLINK("http://sofifa.com/en/14w/p/148017-nicklas-bendtner","N. Bendtner")</f>
        <v>N. Bendtner</v>
      </c>
      <c s="21" r="I17">
        <v>75</v>
      </c>
      <c t="s" s="21" r="J17">
        <v>90</v>
      </c>
      <c t="s" s="21" r="K17">
        <v>91</v>
      </c>
      <c s="21" r="L17">
        <v>25</v>
      </c>
      <c s="42" r="M17">
        <v>5</v>
      </c>
      <c s="42" r="N17">
        <v>0.013</v>
      </c>
      <c s="42" r="O17"/>
      <c s="42" r="P17">
        <f>IF((O17&gt;0),N17,0)</f>
        <v>0</v>
      </c>
      <c s="42" r="Q17"/>
    </row>
    <row r="18">
      <c t="s" s="42" r="A18">
        <v>19</v>
      </c>
      <c s="42" r="B18">
        <v>17</v>
      </c>
      <c s="21" r="C18">
        <v>19</v>
      </c>
      <c t="s" s="21" r="D18">
        <v>92</v>
      </c>
      <c t="s" s="21" r="E18">
        <v>20</v>
      </c>
      <c t="s" s="21" r="F18">
        <v>20</v>
      </c>
      <c t="str" s="30" r="G18">
        <f>HYPERLINK("http://sofifa.com/en/14w/p/n/45","Spa")</f>
        <v>Spa</v>
      </c>
      <c t="str" s="30" r="H18">
        <f>HYPERLINK("http://sofifa.com/en/14w/p/146888-santiago-cazorla-gonzalez","Santi Cazorla")</f>
        <v>Santi Cazorla</v>
      </c>
      <c s="21" r="I18">
        <v>85</v>
      </c>
      <c t="s" s="21" r="J18">
        <v>88</v>
      </c>
      <c t="s" s="21" r="K18">
        <v>93</v>
      </c>
      <c s="21" r="L18">
        <v>28</v>
      </c>
      <c s="42" r="M18">
        <v>24.2</v>
      </c>
      <c s="42" r="N18">
        <v>0.104</v>
      </c>
      <c s="42" r="O18"/>
      <c s="42" r="P18">
        <f>IF((O18&gt;0),N18,0)</f>
        <v>0</v>
      </c>
      <c s="42" r="Q18"/>
    </row>
    <row r="19">
      <c t="s" s="42" r="A19">
        <v>19</v>
      </c>
      <c s="42" r="B19">
        <v>18</v>
      </c>
      <c s="21" r="C19">
        <v>5</v>
      </c>
      <c t="s" s="21" r="D19">
        <v>92</v>
      </c>
      <c t="s" s="21" r="E19">
        <v>20</v>
      </c>
      <c t="s" s="21" r="F19">
        <v>20</v>
      </c>
      <c t="str" s="30" r="G19">
        <f>HYPERLINK("http://sofifa.com/en/14w/p/n/7","Bel")</f>
        <v>Bel</v>
      </c>
      <c t="str" s="30" r="H19">
        <f>HYPERLINK("http://sofifa.com/en/14w/p/147224-thomas-vermaelen","T. Vermaelen")</f>
        <v>T. Vermaelen</v>
      </c>
      <c s="21" r="I19">
        <v>81</v>
      </c>
      <c t="s" s="21" r="J19">
        <v>75</v>
      </c>
      <c t="s" s="21" r="K19">
        <v>89</v>
      </c>
      <c s="21" r="L19">
        <v>27</v>
      </c>
      <c s="42" r="M19">
        <v>11.1</v>
      </c>
      <c s="42" r="N19">
        <v>0.04</v>
      </c>
      <c s="42" r="O19"/>
      <c s="42" r="P19">
        <f>IF((O19&gt;0),N19,0)</f>
        <v>0</v>
      </c>
      <c s="42" r="Q19"/>
    </row>
    <row r="20">
      <c t="s" s="42" r="A20">
        <v>19</v>
      </c>
      <c s="42" r="B20">
        <v>19</v>
      </c>
      <c s="21" r="C20">
        <v>3</v>
      </c>
      <c t="s" s="21" r="D20">
        <v>92</v>
      </c>
      <c t="s" s="21" r="E20">
        <v>20</v>
      </c>
      <c t="s" s="21" r="F20">
        <v>20</v>
      </c>
      <c t="str" s="30" r="G20">
        <f>HYPERLINK("http://sofifa.com/en/14w/p/n/18","Fra")</f>
        <v>Fra</v>
      </c>
      <c t="str" s="30" r="H20">
        <f>HYPERLINK("http://sofifa.com/en/14w/p/146220-bacary-sagna","B. Sagna")</f>
        <v>B. Sagna</v>
      </c>
      <c s="21" r="I20">
        <v>80</v>
      </c>
      <c t="s" s="21" r="J20">
        <v>72</v>
      </c>
      <c t="s" s="21" r="K20">
        <v>94</v>
      </c>
      <c s="21" r="L20">
        <v>30</v>
      </c>
      <c s="42" r="M20">
        <v>7.7</v>
      </c>
      <c s="42" r="N20">
        <v>0.034</v>
      </c>
      <c s="42" r="O20"/>
      <c s="42" r="P20">
        <f>IF((O20&gt;0),N20,0)</f>
        <v>0</v>
      </c>
      <c s="42" r="Q20"/>
    </row>
    <row r="21">
      <c t="s" s="42" r="A21">
        <v>19</v>
      </c>
      <c s="42" r="B21">
        <v>20</v>
      </c>
      <c s="21" r="C21">
        <v>8</v>
      </c>
      <c t="s" s="21" r="D21">
        <v>92</v>
      </c>
      <c t="s" s="21" r="E21">
        <v>20</v>
      </c>
      <c t="s" s="21" r="F21">
        <v>20</v>
      </c>
      <c t="str" s="30" r="G21">
        <f>HYPERLINK("http://sofifa.com/en/14w/p/n/45","Spa")</f>
        <v>Spa</v>
      </c>
      <c t="str" s="30" r="H21">
        <f>HYPERLINK("http://sofifa.com/en/14w/p/145895-mikel-arteta-amatriain","Mikel Arteta")</f>
        <v>Mikel Arteta</v>
      </c>
      <c s="21" r="I21">
        <v>82</v>
      </c>
      <c t="s" s="21" r="J21">
        <v>81</v>
      </c>
      <c t="s" s="21" r="K21">
        <v>94</v>
      </c>
      <c s="21" r="L21">
        <v>31</v>
      </c>
      <c s="42" r="M21">
        <v>10.6</v>
      </c>
      <c s="42" r="N21">
        <v>0.062</v>
      </c>
      <c s="42" r="O21"/>
      <c s="42" r="P21">
        <f>IF((O21&gt;0),N21,0)</f>
        <v>0</v>
      </c>
      <c s="42" r="Q21"/>
    </row>
    <row r="22">
      <c t="s" s="42" r="A22">
        <v>19</v>
      </c>
      <c s="42" r="B22">
        <v>21</v>
      </c>
      <c s="21" r="C22">
        <v>21</v>
      </c>
      <c t="s" s="21" r="D22">
        <v>92</v>
      </c>
      <c t="s" s="21" r="E22">
        <v>20</v>
      </c>
      <c t="s" s="21" r="F22">
        <v>20</v>
      </c>
      <c t="str" s="30" r="G22">
        <f>HYPERLINK("http://sofifa.com/en/14w/p/n/37","Pol")</f>
        <v>Pol</v>
      </c>
      <c t="str" s="30" r="H22">
        <f>HYPERLINK("http://sofifa.com/en/14w/p/147014-lukasz-fabianski","L. Fabiański")</f>
        <v>L. Fabiański</v>
      </c>
      <c s="21" r="I22">
        <v>75</v>
      </c>
      <c t="s" s="21" r="J22">
        <v>70</v>
      </c>
      <c t="s" s="21" r="K22">
        <v>95</v>
      </c>
      <c s="21" r="L22">
        <v>28</v>
      </c>
      <c s="42" r="M22">
        <v>3.3</v>
      </c>
      <c s="42" r="N22">
        <v>0.013</v>
      </c>
      <c s="42" r="O22"/>
      <c s="42" r="P22">
        <f>IF((O22&gt;0),N22,0)</f>
        <v>0</v>
      </c>
      <c s="42" r="Q22"/>
    </row>
    <row r="23">
      <c t="s" s="42" r="A23">
        <v>19</v>
      </c>
      <c s="42" r="B23">
        <v>22</v>
      </c>
      <c s="21" r="C23">
        <v>14</v>
      </c>
      <c t="s" s="21" r="D23">
        <v>92</v>
      </c>
      <c t="s" s="21" r="E23">
        <v>20</v>
      </c>
      <c t="s" s="21" r="F23">
        <v>20</v>
      </c>
      <c t="str" s="30" r="G23">
        <f>HYPERLINK("http://sofifa.com/en/14w/p/n/14","Eng")</f>
        <v>Eng</v>
      </c>
      <c t="str" s="30" r="H23">
        <f>HYPERLINK("http://sofifa.com/en/14w/p/148442-theo-walcott","T. Walcott")</f>
        <v>T. Walcott</v>
      </c>
      <c s="21" r="I23">
        <v>81</v>
      </c>
      <c t="s" s="21" r="J23">
        <v>85</v>
      </c>
      <c t="s" s="21" r="K23">
        <v>94</v>
      </c>
      <c s="21" r="L23">
        <v>24</v>
      </c>
      <c s="42" r="M23">
        <v>13.9</v>
      </c>
      <c s="42" r="N23">
        <v>0.04</v>
      </c>
      <c s="42" r="O23"/>
      <c s="42" r="P23">
        <f>IF((O23&gt;0),N23,0)</f>
        <v>0</v>
      </c>
      <c s="42" r="Q23"/>
    </row>
    <row r="24">
      <c t="s" s="42" r="A24">
        <v>19</v>
      </c>
      <c s="42" r="B24">
        <v>23</v>
      </c>
      <c s="21" r="C24">
        <v>9</v>
      </c>
      <c t="s" s="21" r="D24">
        <v>92</v>
      </c>
      <c t="s" s="21" r="E24">
        <v>20</v>
      </c>
      <c t="s" s="21" r="F24">
        <v>20</v>
      </c>
      <c t="str" s="30" r="G24">
        <f>HYPERLINK("http://sofifa.com/en/14w/p/n/21","Ger")</f>
        <v>Ger</v>
      </c>
      <c t="str" s="30" r="H24">
        <f>HYPERLINK("http://sofifa.com/en/14w/p/147061-lukas-podolski","L. Podolski")</f>
        <v>L. Podolski</v>
      </c>
      <c s="21" r="I24">
        <v>80</v>
      </c>
      <c t="s" s="21" r="J24">
        <v>96</v>
      </c>
      <c t="s" s="21" r="K24">
        <v>89</v>
      </c>
      <c s="21" r="L24">
        <v>28</v>
      </c>
      <c s="42" r="M24">
        <v>11.2</v>
      </c>
      <c s="42" r="N24">
        <v>0.031</v>
      </c>
      <c s="42" r="O24"/>
      <c s="42" r="P24">
        <f>IF((O24&gt;0),N24,0)</f>
        <v>0</v>
      </c>
      <c s="42" r="Q24"/>
    </row>
    <row r="25">
      <c t="s" s="42" r="A25">
        <v>19</v>
      </c>
      <c s="42" r="B25">
        <v>24</v>
      </c>
      <c s="21" r="C25">
        <v>50</v>
      </c>
      <c t="s" s="21" r="D25">
        <v>97</v>
      </c>
      <c t="s" s="21" r="E25">
        <v>20</v>
      </c>
      <c t="s" s="21" r="F25">
        <v>20</v>
      </c>
      <c t="str" s="30" r="G25">
        <f>HYPERLINK("http://sofifa.com/en/14w/p/n/52","Arg")</f>
        <v>Arg</v>
      </c>
      <c t="str" s="30" r="H25">
        <f>HYPERLINK("http://sofifa.com/en/14w/p/149708-damian-martinez","D. Martinez")</f>
        <v>D. Martinez</v>
      </c>
      <c s="21" r="I25">
        <v>62</v>
      </c>
      <c t="s" s="21" r="J25">
        <v>70</v>
      </c>
      <c t="s" s="21" r="K25">
        <v>95</v>
      </c>
      <c s="21" r="L25">
        <v>20</v>
      </c>
      <c s="42" r="M25">
        <v>0.6</v>
      </c>
      <c s="42" r="N25">
        <v>0.003</v>
      </c>
      <c s="42" r="O25"/>
      <c s="42" r="P25">
        <f>IF((O25&gt;0),N25,0)</f>
        <v>0</v>
      </c>
      <c s="42" r="Q25"/>
    </row>
    <row r="26">
      <c t="s" s="42" r="A26">
        <v>19</v>
      </c>
      <c s="42" r="B26">
        <v>25</v>
      </c>
      <c s="21" r="C26">
        <v>57</v>
      </c>
      <c t="s" s="21" r="D26">
        <v>97</v>
      </c>
      <c t="s" s="21" r="E26">
        <v>20</v>
      </c>
      <c t="s" s="21" r="F26">
        <v>20</v>
      </c>
      <c t="str" s="30" r="G26">
        <f>HYPERLINK("http://sofifa.com/en/14w/p/n/14","Eng")</f>
        <v>Eng</v>
      </c>
      <c t="str" s="30" r="H26">
        <f>HYPERLINK("http://sofifa.com/en/14w/p/149971-nicholas-yennaris","N. Yennaris")</f>
        <v>N. Yennaris</v>
      </c>
      <c s="21" r="I26">
        <v>62</v>
      </c>
      <c t="s" s="21" r="J26">
        <v>98</v>
      </c>
      <c t="s" s="21" r="K26">
        <v>86</v>
      </c>
      <c s="21" r="L26">
        <v>20</v>
      </c>
      <c s="42" r="M26">
        <v>0.7</v>
      </c>
      <c s="42" r="N26">
        <v>0.003</v>
      </c>
      <c s="42" r="O26"/>
      <c s="42" r="P26">
        <f>IF((O26&gt;0),N26,0)</f>
        <v>0</v>
      </c>
      <c s="42" r="Q26"/>
    </row>
    <row r="27">
      <c t="s" s="42" r="A27">
        <v>19</v>
      </c>
      <c s="42" r="B27">
        <v>26</v>
      </c>
      <c s="21" r="C27">
        <v>42</v>
      </c>
      <c t="s" s="21" r="D27">
        <v>97</v>
      </c>
      <c t="s" s="21" r="E27">
        <v>20</v>
      </c>
      <c t="s" s="21" r="F27">
        <v>20</v>
      </c>
      <c t="str" s="30" r="G27">
        <f>HYPERLINK("http://sofifa.com/en/14w/p/n/21","Ger")</f>
        <v>Ger</v>
      </c>
      <c t="str" s="30" r="H27">
        <f>HYPERLINK("http://sofifa.com/en/14w/p/149846-thomas-eisfeld","T. Eisfeld")</f>
        <v>T. Eisfeld</v>
      </c>
      <c s="21" r="I27">
        <v>59</v>
      </c>
      <c t="s" s="21" r="J27">
        <v>88</v>
      </c>
      <c t="s" s="21" r="K27">
        <v>82</v>
      </c>
      <c s="21" r="L27">
        <v>20</v>
      </c>
      <c s="42" r="M27">
        <v>0.5</v>
      </c>
      <c s="42" r="N27">
        <v>0.002</v>
      </c>
      <c s="42" r="O27"/>
      <c s="42" r="P27">
        <f>IF((O27&gt;0),N27,0)</f>
        <v>0</v>
      </c>
      <c s="42" r="Q27"/>
    </row>
    <row r="28">
      <c t="s" s="42" r="A28">
        <v>19</v>
      </c>
      <c s="42" r="B28">
        <v>27</v>
      </c>
      <c s="21" r="C28">
        <v>36</v>
      </c>
      <c t="s" s="21" r="D28">
        <v>97</v>
      </c>
      <c t="s" s="21" r="E28">
        <v>20</v>
      </c>
      <c t="s" s="21" r="F28">
        <v>20</v>
      </c>
      <c t="str" s="30" r="G28">
        <f>HYPERLINK("http://sofifa.com/en/14w/p/n/14","Eng")</f>
        <v>Eng</v>
      </c>
      <c t="str" s="30" r="H28">
        <f>HYPERLINK("http://sofifa.com/en/14w/p/149871-benik-afobe","B. Afobe")</f>
        <v>B. Afobe</v>
      </c>
      <c s="21" r="I28">
        <v>65</v>
      </c>
      <c t="s" s="21" r="J28">
        <v>90</v>
      </c>
      <c t="s" s="21" r="K28">
        <v>89</v>
      </c>
      <c s="21" r="L28">
        <v>20</v>
      </c>
      <c s="42" r="M28">
        <v>1.3</v>
      </c>
      <c s="42" r="N28">
        <v>0.004</v>
      </c>
      <c s="42" r="O28"/>
      <c s="42" r="P28">
        <f>IF((O28&gt;0),N28,0)</f>
        <v>0</v>
      </c>
      <c s="42" r="Q28"/>
    </row>
    <row r="29">
      <c t="s" s="42" r="A29">
        <v>19</v>
      </c>
      <c s="42" r="B29">
        <v>28</v>
      </c>
      <c s="21" r="C29">
        <v>15</v>
      </c>
      <c t="s" s="21" r="D29">
        <v>97</v>
      </c>
      <c t="s" s="21" r="E29">
        <v>20</v>
      </c>
      <c t="s" s="21" r="F29">
        <v>20</v>
      </c>
      <c t="str" s="30" r="G29">
        <f>HYPERLINK("http://sofifa.com/en/14w/p/n/14","Eng")</f>
        <v>Eng</v>
      </c>
      <c t="str" s="30" r="H29">
        <f>HYPERLINK("http://sofifa.com/en/14w/p/150055-alex-oxlade-chamberlain","A. Oxlade-Chamberlain")</f>
        <v>A. Oxlade-Chamberlain</v>
      </c>
      <c s="21" r="I29">
        <v>77</v>
      </c>
      <c t="s" s="21" r="J29">
        <v>85</v>
      </c>
      <c t="s" s="21" r="K29">
        <v>94</v>
      </c>
      <c s="21" r="L29">
        <v>19</v>
      </c>
      <c s="42" r="M29">
        <v>7.1</v>
      </c>
      <c s="42" r="N29">
        <v>0.013</v>
      </c>
      <c s="42" r="O29"/>
      <c s="42" r="P29">
        <f>IF((O29&gt;0),N29,0)</f>
        <v>0</v>
      </c>
      <c s="42" r="Q29"/>
    </row>
    <row r="30">
      <c t="s" s="42" r="A30">
        <v>19</v>
      </c>
      <c s="42" r="B30">
        <v>29</v>
      </c>
      <c s="21" r="C30">
        <v>22</v>
      </c>
      <c t="s" s="21" r="D30">
        <v>97</v>
      </c>
      <c t="s" s="21" r="E30">
        <v>20</v>
      </c>
      <c t="s" s="21" r="F30">
        <v>20</v>
      </c>
      <c t="str" s="30" r="G30">
        <f>HYPERLINK("http://sofifa.com/en/14w/p/n/18","Fra")</f>
        <v>Fra</v>
      </c>
      <c t="str" s="30" r="H30">
        <f>HYPERLINK("http://sofifa.com/en/14w/p/149855-yaya-sanogo","Y. Sanogo")</f>
        <v>Y. Sanogo</v>
      </c>
      <c s="21" r="I30">
        <v>65</v>
      </c>
      <c t="s" s="21" r="J30">
        <v>90</v>
      </c>
      <c t="s" s="21" r="K30">
        <v>95</v>
      </c>
      <c s="21" r="L30">
        <v>20</v>
      </c>
      <c s="42" r="M30">
        <v>1.3</v>
      </c>
      <c s="42" r="N30">
        <v>0.004</v>
      </c>
      <c s="42" r="O30"/>
      <c s="42" r="P30">
        <f>IF((O30&gt;0),N30,0)</f>
        <v>0</v>
      </c>
      <c s="42" r="Q30"/>
    </row>
    <row r="31">
      <c t="s" s="42" r="A31">
        <v>19</v>
      </c>
      <c s="42" r="B31">
        <v>30</v>
      </c>
      <c s="21" r="C31">
        <v>26</v>
      </c>
      <c t="s" s="21" r="D31">
        <v>97</v>
      </c>
      <c t="s" s="21" r="E31">
        <v>20</v>
      </c>
      <c t="s" s="21" r="F31">
        <v>20</v>
      </c>
      <c t="str" s="30" r="G31">
        <f>HYPERLINK("http://sofifa.com/en/14w/p/n/117","Gha")</f>
        <v>Gha</v>
      </c>
      <c t="str" s="30" r="H31">
        <f>HYPERLINK("http://sofifa.com/en/14w/p/149472-emmanuel-frimpong","E. Frimpong")</f>
        <v>E. Frimpong</v>
      </c>
      <c s="21" r="I31">
        <v>67</v>
      </c>
      <c t="s" s="21" r="J31">
        <v>98</v>
      </c>
      <c t="s" s="21" r="K31">
        <v>94</v>
      </c>
      <c s="21" r="L31">
        <v>21</v>
      </c>
      <c s="42" r="M31">
        <v>1.4</v>
      </c>
      <c s="42" r="N31">
        <v>0.005</v>
      </c>
      <c s="42" r="O31"/>
      <c s="42" r="P31">
        <f>IF((O31&gt;0),N31,0)</f>
        <v>0</v>
      </c>
      <c s="42" r="Q31"/>
    </row>
    <row r="32">
      <c t="s" s="42" r="A32">
        <v>19</v>
      </c>
      <c s="42" r="B32">
        <v>31</v>
      </c>
      <c s="21" r="C32">
        <v>24</v>
      </c>
      <c t="s" s="21" r="D32">
        <v>97</v>
      </c>
      <c t="s" s="21" r="E32">
        <v>20</v>
      </c>
      <c t="s" s="21" r="F32">
        <v>20</v>
      </c>
      <c t="str" s="30" r="G32">
        <f>HYPERLINK("http://sofifa.com/en/14w/p/n/18","Fra")</f>
        <v>Fra</v>
      </c>
      <c t="str" s="30" r="H32">
        <f>HYPERLINK("http://sofifa.com/en/14w/p/147402-abou-diaby","A. Diaby")</f>
        <v>A. Diaby</v>
      </c>
      <c s="21" r="I32">
        <v>77</v>
      </c>
      <c t="s" s="21" r="J32">
        <v>81</v>
      </c>
      <c t="s" s="21" r="K32">
        <v>99</v>
      </c>
      <c s="21" r="L32">
        <v>27</v>
      </c>
      <c s="42" r="M32">
        <v>5.5</v>
      </c>
      <c s="42" r="N32">
        <v>0.017</v>
      </c>
      <c s="42" r="O32"/>
      <c s="42" r="P32">
        <f>IF((O32&gt;0),N32,0)</f>
        <v>0</v>
      </c>
      <c s="42" r="Q32"/>
    </row>
    <row r="33">
      <c t="s" s="42" r="A33">
        <v>19</v>
      </c>
      <c s="42" r="B33">
        <v>32</v>
      </c>
      <c s="21" r="C33">
        <v>30</v>
      </c>
      <c t="s" s="21" r="D33">
        <v>97</v>
      </c>
      <c t="s" s="21" r="E33">
        <v>20</v>
      </c>
      <c t="s" s="21" r="F33">
        <v>20</v>
      </c>
      <c t="str" s="30" r="G33">
        <f>HYPERLINK("http://sofifa.com/en/14w/p/n/167","Kor")</f>
        <v>Kor</v>
      </c>
      <c t="str" s="30" r="H33">
        <f>HYPERLINK("http://sofifa.com/en/14w/p/147097-chu-young-park","C. Park")</f>
        <v>C. Park</v>
      </c>
      <c s="21" r="I33">
        <v>70</v>
      </c>
      <c t="s" s="21" r="J33">
        <v>90</v>
      </c>
      <c t="s" s="21" r="K33">
        <v>89</v>
      </c>
      <c s="21" r="L33">
        <v>27</v>
      </c>
      <c s="42" r="M33">
        <v>2.1</v>
      </c>
      <c s="42" r="N33">
        <v>0.007</v>
      </c>
      <c s="42" r="O33"/>
      <c s="42" r="P33">
        <f>IF((O33&gt;0),N33,0)</f>
        <v>0</v>
      </c>
      <c s="42" r="Q33"/>
    </row>
    <row r="34">
      <c t="s" s="42" r="A34">
        <v>19</v>
      </c>
      <c s="42" r="B34">
        <v>33</v>
      </c>
      <c s="21" r="C34">
        <v>37</v>
      </c>
      <c t="s" s="21" r="D34">
        <v>97</v>
      </c>
      <c t="s" s="21" r="E34">
        <v>20</v>
      </c>
      <c t="s" s="21" r="F34">
        <v>20</v>
      </c>
      <c t="str" s="30" r="G34">
        <f>HYPERLINK("http://sofifa.com/en/14w/p/n/14","Eng")</f>
        <v>Eng</v>
      </c>
      <c t="str" s="30" r="H34">
        <f>HYPERLINK("http://sofifa.com/en/14w/p/150840-chuba-akpom","C. Akpom")</f>
        <v>C. Akpom</v>
      </c>
      <c s="21" r="I34">
        <v>58</v>
      </c>
      <c t="s" s="21" r="J34">
        <v>90</v>
      </c>
      <c t="s" s="21" r="K34">
        <v>89</v>
      </c>
      <c s="21" r="L34">
        <v>17</v>
      </c>
      <c s="42" r="M34">
        <v>0.4</v>
      </c>
      <c s="42" r="N34">
        <v>0.002</v>
      </c>
      <c s="42" r="O34"/>
      <c s="42" r="P34">
        <f>IF((O34&gt;0),N34,0)</f>
        <v>0</v>
      </c>
      <c s="42" r="Q34"/>
    </row>
    <row r="35">
      <c t="s" s="42" r="A35">
        <v>29</v>
      </c>
      <c s="42" r="B35">
        <v>34</v>
      </c>
      <c s="21" r="C35">
        <v>1</v>
      </c>
      <c t="s" s="21" r="D35">
        <v>70</v>
      </c>
      <c t="s" s="21" r="E35">
        <v>30</v>
      </c>
      <c t="s" s="21" r="F35">
        <v>30</v>
      </c>
      <c t="str" s="30" r="G35">
        <f>HYPERLINK("http://sofifa.com/en/14w/p/n/95","Uni")</f>
        <v>Uni</v>
      </c>
      <c t="str" s="30" r="H35">
        <f>HYPERLINK("http://sofifa.com/en/14w/p/146793-brad-guzan","B. Guzan")</f>
        <v>B. Guzan</v>
      </c>
      <c s="21" r="I35">
        <v>79</v>
      </c>
      <c t="s" s="21" r="J35">
        <v>70</v>
      </c>
      <c t="s" s="21" r="K35">
        <v>91</v>
      </c>
      <c s="21" r="L35">
        <v>28</v>
      </c>
      <c s="42" r="M35">
        <v>5.7</v>
      </c>
      <c s="42" r="N35">
        <v>0.023</v>
      </c>
      <c s="42" r="O35"/>
      <c s="42" r="P35">
        <f>IF((O35&gt;0),N35,0)</f>
        <v>0</v>
      </c>
      <c s="42" r="Q35"/>
    </row>
    <row r="36">
      <c t="s" s="42" r="A36">
        <v>29</v>
      </c>
      <c s="42" r="B36">
        <v>35</v>
      </c>
      <c s="21" r="C36">
        <v>7</v>
      </c>
      <c t="s" s="21" r="D36">
        <v>100</v>
      </c>
      <c t="s" s="21" r="E36">
        <v>30</v>
      </c>
      <c t="s" s="21" r="F36">
        <v>30</v>
      </c>
      <c t="str" s="30" r="G36">
        <f>HYPERLINK("http://sofifa.com/en/14w/p/n/34","Net")</f>
        <v>Net</v>
      </c>
      <c t="str" s="30" r="H36">
        <f>HYPERLINK("http://sofifa.com/en/14w/p/149330-leandro-bacuna","L. Bacuna")</f>
        <v>L. Bacuna</v>
      </c>
      <c s="21" r="I36">
        <v>69</v>
      </c>
      <c t="s" s="21" r="J36">
        <v>85</v>
      </c>
      <c t="s" s="21" r="K36">
        <v>99</v>
      </c>
      <c s="21" r="L36">
        <v>21</v>
      </c>
      <c s="42" r="M36">
        <v>2.1</v>
      </c>
      <c s="42" r="N36">
        <v>0.006</v>
      </c>
      <c s="42" r="O36"/>
      <c s="42" r="P36">
        <f>IF((O36&gt;0),N36,0)</f>
        <v>0</v>
      </c>
      <c s="42" r="Q36"/>
    </row>
    <row r="37">
      <c t="s" s="42" r="A37">
        <v>29</v>
      </c>
      <c s="42" r="B37">
        <v>36</v>
      </c>
      <c s="21" r="C37">
        <v>4</v>
      </c>
      <c t="s" s="21" r="D37">
        <v>74</v>
      </c>
      <c t="s" s="21" r="E37">
        <v>30</v>
      </c>
      <c t="s" s="21" r="F37">
        <v>30</v>
      </c>
      <c t="str" s="30" r="G37">
        <f>HYPERLINK("http://sofifa.com/en/14w/p/n/34","Net")</f>
        <v>Net</v>
      </c>
      <c t="str" s="30" r="H37">
        <f>HYPERLINK("http://sofifa.com/en/14w/p/146953-ron-vlaar","R. Vlaar")</f>
        <v>R. Vlaar</v>
      </c>
      <c s="21" r="I37">
        <v>77</v>
      </c>
      <c t="s" s="21" r="J37">
        <v>75</v>
      </c>
      <c t="s" s="21" r="K37">
        <v>99</v>
      </c>
      <c s="21" r="L37">
        <v>28</v>
      </c>
      <c s="42" r="M37">
        <v>5.7</v>
      </c>
      <c s="42" r="N37">
        <v>0.017</v>
      </c>
      <c s="42" r="O37"/>
      <c s="42" r="P37">
        <f>IF((O37&gt;0),N37,0)</f>
        <v>0</v>
      </c>
      <c s="42" r="Q37"/>
    </row>
    <row r="38">
      <c t="s" s="42" r="A38">
        <v>29</v>
      </c>
      <c s="42" r="B38">
        <v>37</v>
      </c>
      <c s="21" r="C38">
        <v>6</v>
      </c>
      <c t="s" s="21" r="D38">
        <v>75</v>
      </c>
      <c t="s" s="21" r="E38">
        <v>30</v>
      </c>
      <c t="s" s="21" r="F38">
        <v>30</v>
      </c>
      <c t="str" s="30" r="G38">
        <f>HYPERLINK("http://sofifa.com/en/14w/p/n/25","Rep")</f>
        <v>Rep</v>
      </c>
      <c t="str" s="30" r="H38">
        <f>HYPERLINK("http://sofifa.com/en/14w/p/148636-ciaran-clark","C. Clark")</f>
        <v>C. Clark</v>
      </c>
      <c s="21" r="I38">
        <v>73</v>
      </c>
      <c t="s" s="21" r="J38">
        <v>75</v>
      </c>
      <c t="s" s="21" r="K38">
        <v>99</v>
      </c>
      <c s="21" r="L38">
        <v>23</v>
      </c>
      <c s="42" r="M38">
        <v>3.1</v>
      </c>
      <c s="42" r="N38">
        <v>0.009</v>
      </c>
      <c s="42" r="O38"/>
      <c s="42" r="P38">
        <f>IF((O38&gt;0),N38,0)</f>
        <v>0</v>
      </c>
      <c s="42" r="Q38"/>
    </row>
    <row r="39">
      <c t="s" s="42" r="A39">
        <v>29</v>
      </c>
      <c s="42" r="B39">
        <v>38</v>
      </c>
      <c s="21" r="C39">
        <v>2</v>
      </c>
      <c t="s" s="21" r="D39">
        <v>77</v>
      </c>
      <c t="s" s="21" r="E39">
        <v>30</v>
      </c>
      <c t="s" s="21" r="F39">
        <v>30</v>
      </c>
      <c t="str" s="30" r="G39">
        <f>HYPERLINK("http://sofifa.com/en/14w/p/n/14","Eng")</f>
        <v>Eng</v>
      </c>
      <c t="str" s="30" r="H39">
        <f>HYPERLINK("http://sofifa.com/en/14w/p/149210-nathan-baker","N. Baker")</f>
        <v>N. Baker</v>
      </c>
      <c s="21" r="I39">
        <v>71</v>
      </c>
      <c t="s" s="21" r="J39">
        <v>75</v>
      </c>
      <c t="s" s="21" r="K39">
        <v>99</v>
      </c>
      <c s="21" r="L39">
        <v>22</v>
      </c>
      <c s="42" r="M39">
        <v>2.3</v>
      </c>
      <c s="42" r="N39">
        <v>0.007</v>
      </c>
      <c s="42" r="O39"/>
      <c s="42" r="P39">
        <f>IF((O39&gt;0),N39,0)</f>
        <v>0</v>
      </c>
      <c s="42" r="Q39"/>
    </row>
    <row r="40">
      <c t="s" s="42" r="A40">
        <v>29</v>
      </c>
      <c s="42" r="B40">
        <v>39</v>
      </c>
      <c s="21" r="C40">
        <v>14</v>
      </c>
      <c t="s" s="21" r="D40">
        <v>101</v>
      </c>
      <c t="s" s="21" r="E40">
        <v>30</v>
      </c>
      <c t="s" s="21" r="F40">
        <v>30</v>
      </c>
      <c t="str" s="30" r="G40">
        <f>HYPERLINK("http://sofifa.com/en/14w/p/n/45","Spa")</f>
        <v>Spa</v>
      </c>
      <c t="str" s="30" r="H40">
        <f>HYPERLINK("http://sofifa.com/en/14w/p/149173-antonio-manuel-luna-rodriguez","Luna")</f>
        <v>Luna</v>
      </c>
      <c s="21" r="I40">
        <v>71</v>
      </c>
      <c t="s" s="21" r="J40">
        <v>78</v>
      </c>
      <c t="s" s="21" r="K40">
        <v>82</v>
      </c>
      <c s="21" r="L40">
        <v>22</v>
      </c>
      <c s="42" r="M40">
        <v>2.2</v>
      </c>
      <c s="42" r="N40">
        <v>0.007</v>
      </c>
      <c s="42" r="O40"/>
      <c s="42" r="P40">
        <f>IF((O40&gt;0),N40,0)</f>
        <v>0</v>
      </c>
      <c s="42" r="Q40"/>
    </row>
    <row r="41">
      <c t="s" s="42" r="A41">
        <v>29</v>
      </c>
      <c s="42" r="B41">
        <v>40</v>
      </c>
      <c s="21" r="C41">
        <v>8</v>
      </c>
      <c t="s" s="21" r="D41">
        <v>102</v>
      </c>
      <c t="s" s="21" r="E41">
        <v>30</v>
      </c>
      <c t="s" s="21" r="F41">
        <v>30</v>
      </c>
      <c t="str" s="30" r="G41">
        <f>HYPERLINK("http://sofifa.com/en/14w/p/n/129","Mor")</f>
        <v>Mor</v>
      </c>
      <c t="str" s="30" r="H41">
        <f>HYPERLINK("http://sofifa.com/en/14w/p/146933-karim-el-ahmadi","K. El Ahmadi")</f>
        <v>K. El Ahmadi</v>
      </c>
      <c s="21" r="I41">
        <v>74</v>
      </c>
      <c t="s" s="21" r="J41">
        <v>81</v>
      </c>
      <c t="s" s="21" r="K41">
        <v>89</v>
      </c>
      <c s="21" r="L41">
        <v>28</v>
      </c>
      <c s="42" r="M41">
        <v>3.2</v>
      </c>
      <c s="42" r="N41">
        <v>0.011</v>
      </c>
      <c s="42" r="O41"/>
      <c s="42" r="P41">
        <f>IF((O41&gt;0),N41,0)</f>
        <v>0</v>
      </c>
      <c s="42" r="Q41"/>
    </row>
    <row r="42">
      <c t="s" s="42" r="A42">
        <v>29</v>
      </c>
      <c s="42" r="B42">
        <v>41</v>
      </c>
      <c s="21" r="C42">
        <v>16</v>
      </c>
      <c t="s" s="21" r="D42">
        <v>81</v>
      </c>
      <c t="s" s="21" r="E42">
        <v>30</v>
      </c>
      <c t="s" s="21" r="F42">
        <v>30</v>
      </c>
      <c t="str" s="30" r="G42">
        <f>HYPERLINK("http://sofifa.com/en/14w/p/n/14","Eng")</f>
        <v>Eng</v>
      </c>
      <c t="str" s="30" r="H42">
        <f>HYPERLINK("http://sofifa.com/en/14w/p/148692-fabian-delph","F. Delph")</f>
        <v>F. Delph</v>
      </c>
      <c s="21" r="I42">
        <v>73</v>
      </c>
      <c t="s" s="21" r="J42">
        <v>81</v>
      </c>
      <c t="s" s="21" r="K42">
        <v>94</v>
      </c>
      <c s="21" r="L42">
        <v>23</v>
      </c>
      <c s="42" r="M42">
        <v>3.2</v>
      </c>
      <c s="42" r="N42">
        <v>0.009</v>
      </c>
      <c s="42" r="O42"/>
      <c s="42" r="P42">
        <f>IF((O42&gt;0),N42,0)</f>
        <v>0</v>
      </c>
      <c s="42" r="Q42"/>
    </row>
    <row r="43">
      <c t="s" s="42" r="A43">
        <v>29</v>
      </c>
      <c s="42" r="B43">
        <v>42</v>
      </c>
      <c s="21" r="C43">
        <v>18</v>
      </c>
      <c t="s" s="21" r="D43">
        <v>103</v>
      </c>
      <c t="s" s="21" r="E43">
        <v>30</v>
      </c>
      <c t="s" s="21" r="F43">
        <v>30</v>
      </c>
      <c t="str" s="30" r="G43">
        <f>HYPERLINK("http://sofifa.com/en/14w/p/n/126","Mal")</f>
        <v>Mal</v>
      </c>
      <c t="str" s="30" r="H43">
        <f>HYPERLINK("http://sofifa.com/en/14w/p/149065-yacouba-sylla","Y. Sylla")</f>
        <v>Y. Sylla</v>
      </c>
      <c s="21" r="I43">
        <v>68</v>
      </c>
      <c t="s" s="21" r="J43">
        <v>81</v>
      </c>
      <c t="s" s="21" r="K43">
        <v>89</v>
      </c>
      <c s="21" r="L43">
        <v>22</v>
      </c>
      <c s="42" r="M43">
        <v>1.6</v>
      </c>
      <c s="42" r="N43">
        <v>0.006</v>
      </c>
      <c s="42" r="O43"/>
      <c s="42" r="P43">
        <f>IF((O43&gt;0),N43,0)</f>
        <v>0</v>
      </c>
      <c s="42" r="Q43"/>
    </row>
    <row r="44">
      <c t="s" s="42" r="A44">
        <v>29</v>
      </c>
      <c s="42" r="B44">
        <v>43</v>
      </c>
      <c s="21" r="C44">
        <v>10</v>
      </c>
      <c t="s" s="21" r="D44">
        <v>104</v>
      </c>
      <c t="s" s="21" r="E44">
        <v>30</v>
      </c>
      <c t="s" s="21" r="F44">
        <v>30</v>
      </c>
      <c t="str" s="30" r="G44">
        <f>HYPERLINK("http://sofifa.com/en/14w/p/n/4","Aus")</f>
        <v>Aus</v>
      </c>
      <c t="str" s="30" r="H44">
        <f>HYPERLINK("http://sofifa.com/en/14w/p/149314-andreas-weimann","A. Weimann")</f>
        <v>A. Weimann</v>
      </c>
      <c s="21" r="I44">
        <v>74</v>
      </c>
      <c t="s" s="21" r="J44">
        <v>90</v>
      </c>
      <c t="s" s="21" r="K44">
        <v>82</v>
      </c>
      <c s="21" r="L44">
        <v>21</v>
      </c>
      <c s="42" r="M44">
        <v>4.4</v>
      </c>
      <c s="42" r="N44">
        <v>0.009</v>
      </c>
      <c s="42" r="O44"/>
      <c s="42" r="P44">
        <f>IF((O44&gt;0),N44,0)</f>
        <v>0</v>
      </c>
      <c s="42" r="Q44"/>
    </row>
    <row r="45">
      <c t="s" s="42" r="A45">
        <v>29</v>
      </c>
      <c s="42" r="B45">
        <v>44</v>
      </c>
      <c s="21" r="C45">
        <v>27</v>
      </c>
      <c t="s" s="21" r="D45">
        <v>105</v>
      </c>
      <c t="s" s="21" r="E45">
        <v>30</v>
      </c>
      <c t="s" s="21" r="F45">
        <v>30</v>
      </c>
      <c t="str" s="30" r="G45">
        <f>HYPERLINK("http://sofifa.com/en/14w/p/n/12","Cze")</f>
        <v>Cze</v>
      </c>
      <c t="str" s="30" r="H45">
        <f>HYPERLINK("http://sofifa.com/en/14w/p/148517-libor-kozak","L. Kozák")</f>
        <v>L. Kozák</v>
      </c>
      <c s="21" r="I45">
        <v>74</v>
      </c>
      <c t="s" s="21" r="J45">
        <v>90</v>
      </c>
      <c t="s" s="21" r="K45">
        <v>91</v>
      </c>
      <c s="21" r="L45">
        <v>24</v>
      </c>
      <c s="42" r="M45">
        <v>4.4</v>
      </c>
      <c s="42" r="N45">
        <v>0.011</v>
      </c>
      <c s="42" r="O45"/>
      <c s="42" r="P45">
        <f>IF((O45&gt;0),N45,0)</f>
        <v>0</v>
      </c>
      <c s="42" r="Q45"/>
    </row>
    <row r="46">
      <c t="s" s="42" r="A46">
        <v>29</v>
      </c>
      <c s="42" r="B46">
        <v>45</v>
      </c>
      <c s="21" r="C46">
        <v>24</v>
      </c>
      <c t="s" s="21" r="D46">
        <v>92</v>
      </c>
      <c t="s" s="21" r="E46">
        <v>30</v>
      </c>
      <c t="s" s="21" r="F46">
        <v>30</v>
      </c>
      <c t="str" s="30" r="G46">
        <f>HYPERLINK("http://sofifa.com/en/14w/p/n/9","Bul")</f>
        <v>Bul</v>
      </c>
      <c t="str" s="30" r="H46">
        <f>HYPERLINK("http://sofifa.com/en/14w/p/148766-aleksandar-tonev","A. Tonev")</f>
        <v>A. Tonev</v>
      </c>
      <c s="21" r="I46">
        <v>66</v>
      </c>
      <c t="s" s="21" r="J46">
        <v>87</v>
      </c>
      <c t="s" s="21" r="K46">
        <v>82</v>
      </c>
      <c s="21" r="L46">
        <v>23</v>
      </c>
      <c s="42" r="M46">
        <v>1.4</v>
      </c>
      <c s="42" r="N46">
        <v>0.005</v>
      </c>
      <c s="42" r="O46"/>
      <c s="42" r="P46">
        <f>IF((O46&gt;0),N46,0)</f>
        <v>0</v>
      </c>
      <c s="42" r="Q46"/>
    </row>
    <row r="47">
      <c t="s" s="42" r="A47">
        <v>29</v>
      </c>
      <c s="42" r="B47">
        <v>46</v>
      </c>
      <c s="21" r="C47">
        <v>9</v>
      </c>
      <c t="s" s="21" r="D47">
        <v>92</v>
      </c>
      <c t="s" s="21" r="E47">
        <v>30</v>
      </c>
      <c t="s" s="21" r="F47">
        <v>30</v>
      </c>
      <c t="str" s="30" r="G47">
        <f>HYPERLINK("http://sofifa.com/en/14w/p/n/13","Den")</f>
        <v>Den</v>
      </c>
      <c t="str" s="30" r="H47">
        <f>HYPERLINK("http://sofifa.com/en/14w/p/149225-nicklas-helenius","N. Helenius")</f>
        <v>N. Helenius</v>
      </c>
      <c s="21" r="I47">
        <v>67</v>
      </c>
      <c t="s" s="21" r="J47">
        <v>90</v>
      </c>
      <c t="s" s="21" r="K47">
        <v>71</v>
      </c>
      <c s="21" r="L47">
        <v>22</v>
      </c>
      <c s="42" r="M47">
        <v>1.7</v>
      </c>
      <c s="42" r="N47">
        <v>0.005</v>
      </c>
      <c s="42" r="O47"/>
      <c s="42" r="P47">
        <f>IF((O47&gt;0),N47,0)</f>
        <v>0</v>
      </c>
      <c s="42" r="Q47"/>
    </row>
    <row r="48">
      <c t="s" s="42" r="A48">
        <v>29</v>
      </c>
      <c s="42" r="B48">
        <v>47</v>
      </c>
      <c s="21" r="C48">
        <v>34</v>
      </c>
      <c t="s" s="21" r="D48">
        <v>92</v>
      </c>
      <c t="s" s="21" r="E48">
        <v>30</v>
      </c>
      <c t="s" s="21" r="F48">
        <v>30</v>
      </c>
      <c t="str" s="30" r="G48">
        <f>HYPERLINK("http://sofifa.com/en/14w/p/n/14","Eng")</f>
        <v>Eng</v>
      </c>
      <c t="str" s="30" r="H48">
        <f>HYPERLINK("http://sofifa.com/en/14w/p/148527-matthew-lowton","M. Lowton")</f>
        <v>M. Lowton</v>
      </c>
      <c s="21" r="I48">
        <v>74</v>
      </c>
      <c t="s" s="21" r="J48">
        <v>72</v>
      </c>
      <c t="s" s="21" r="K48">
        <v>79</v>
      </c>
      <c s="21" r="L48">
        <v>24</v>
      </c>
      <c s="42" r="M48">
        <v>3.2</v>
      </c>
      <c s="42" r="N48">
        <v>0.011</v>
      </c>
      <c s="42" r="O48"/>
      <c s="42" r="P48">
        <f>IF((O48&gt;0),N48,0)</f>
        <v>0</v>
      </c>
      <c s="42" r="Q48"/>
    </row>
    <row r="49">
      <c t="s" s="42" r="A49">
        <v>29</v>
      </c>
      <c s="42" r="B49">
        <v>48</v>
      </c>
      <c s="21" r="C49">
        <v>11</v>
      </c>
      <c t="s" s="21" r="D49">
        <v>92</v>
      </c>
      <c t="s" s="21" r="E49">
        <v>30</v>
      </c>
      <c t="s" s="21" r="F49">
        <v>30</v>
      </c>
      <c t="str" s="30" r="G49">
        <f>HYPERLINK("http://sofifa.com/en/14w/p/n/14","Eng")</f>
        <v>Eng</v>
      </c>
      <c t="str" s="30" r="H49">
        <f>HYPERLINK("http://sofifa.com/en/14w/p/147557-gabriel-agbonlahor","G. Agbonlahor")</f>
        <v>G. Agbonlahor</v>
      </c>
      <c s="21" r="I49">
        <v>74</v>
      </c>
      <c t="s" s="21" r="J49">
        <v>90</v>
      </c>
      <c t="s" s="21" r="K49">
        <v>79</v>
      </c>
      <c s="21" r="L49">
        <v>26</v>
      </c>
      <c s="42" r="M49">
        <v>4.3</v>
      </c>
      <c s="42" r="N49">
        <v>0.011</v>
      </c>
      <c s="42" r="O49"/>
      <c s="42" r="P49">
        <f>IF((O49&gt;0),N49,0)</f>
        <v>0</v>
      </c>
      <c s="42" r="Q49"/>
    </row>
    <row r="50">
      <c t="s" s="42" r="A50">
        <v>29</v>
      </c>
      <c s="42" r="B50">
        <v>49</v>
      </c>
      <c s="21" r="C50">
        <v>43</v>
      </c>
      <c t="s" s="21" r="D50">
        <v>92</v>
      </c>
      <c t="s" s="21" r="E50">
        <v>30</v>
      </c>
      <c t="s" s="21" r="F50">
        <v>30</v>
      </c>
      <c t="str" s="30" r="G50">
        <f>HYPERLINK("http://sofifa.com/en/14w/p/n/18","Fra")</f>
        <v>Fra</v>
      </c>
      <c t="str" s="30" r="H50">
        <f>HYPERLINK("http://sofifa.com/en/14w/p/147419-charles-nzogbia","C. N'Zogbia")</f>
        <v>C. N'Zogbia</v>
      </c>
      <c s="21" r="I50">
        <v>76</v>
      </c>
      <c t="s" s="21" r="J50">
        <v>88</v>
      </c>
      <c t="s" s="21" r="K50">
        <v>106</v>
      </c>
      <c s="21" r="L50">
        <v>27</v>
      </c>
      <c s="42" r="M50">
        <v>5.8</v>
      </c>
      <c s="42" r="N50">
        <v>0.015</v>
      </c>
      <c s="42" r="O50"/>
      <c s="42" r="P50">
        <f>IF((O50&gt;0),N50,0)</f>
        <v>0</v>
      </c>
      <c s="42" r="Q50"/>
    </row>
    <row r="51">
      <c t="s" s="42" r="A51">
        <v>29</v>
      </c>
      <c s="42" r="B51">
        <v>50</v>
      </c>
      <c s="21" r="C51">
        <v>13</v>
      </c>
      <c t="s" s="21" r="D51">
        <v>92</v>
      </c>
      <c t="s" s="21" r="E51">
        <v>30</v>
      </c>
      <c t="s" s="21" r="F51">
        <v>30</v>
      </c>
      <c t="str" s="30" r="G51">
        <f>HYPERLINK("http://sofifa.com/en/14w/p/n/14","Eng")</f>
        <v>Eng</v>
      </c>
      <c t="str" s="30" r="H51">
        <f>HYPERLINK("http://sofifa.com/en/14w/p/149729-jed-steer","J. Steer")</f>
        <v>J. Steer</v>
      </c>
      <c s="21" r="I51">
        <v>62</v>
      </c>
      <c t="s" s="21" r="J51">
        <v>70</v>
      </c>
      <c t="s" s="21" r="K51">
        <v>99</v>
      </c>
      <c s="21" r="L51">
        <v>20</v>
      </c>
      <c s="42" r="M51">
        <v>0.6</v>
      </c>
      <c s="42" r="N51">
        <v>0.003</v>
      </c>
      <c s="42" r="O51"/>
      <c s="42" r="P51">
        <f>IF((O51&gt;0),N51,0)</f>
        <v>0</v>
      </c>
      <c s="42" r="Q51"/>
    </row>
    <row r="52">
      <c t="s" s="42" r="A52">
        <v>29</v>
      </c>
      <c s="42" r="B52">
        <v>51</v>
      </c>
      <c s="21" r="C52">
        <v>3</v>
      </c>
      <c t="s" s="21" r="D52">
        <v>92</v>
      </c>
      <c t="s" s="21" r="E52">
        <v>30</v>
      </c>
      <c t="s" s="21" r="F52">
        <v>30</v>
      </c>
      <c t="str" s="30" r="G52">
        <f>HYPERLINK("http://sofifa.com/en/14w/p/n/14","Eng")</f>
        <v>Eng</v>
      </c>
      <c t="str" s="30" r="H52">
        <f>HYPERLINK("http://sofifa.com/en/14w/p/148819-joe-bennett","J. Bennett")</f>
        <v>J. Bennett</v>
      </c>
      <c s="21" r="I52">
        <v>65</v>
      </c>
      <c t="s" s="21" r="J52">
        <v>78</v>
      </c>
      <c t="s" s="21" r="K52">
        <v>82</v>
      </c>
      <c s="21" r="L52">
        <v>23</v>
      </c>
      <c s="42" r="M52">
        <v>0.9</v>
      </c>
      <c s="42" r="N52">
        <v>0.005</v>
      </c>
      <c s="42" r="O52"/>
      <c s="42" r="P52">
        <f>IF((O52&gt;0),N52,0)</f>
        <v>0</v>
      </c>
      <c s="42" r="Q52"/>
    </row>
    <row r="53">
      <c t="s" s="42" r="A53">
        <v>29</v>
      </c>
      <c s="42" r="B53">
        <v>52</v>
      </c>
      <c s="21" r="C53">
        <v>5</v>
      </c>
      <c t="s" s="21" r="D53">
        <v>92</v>
      </c>
      <c t="s" s="21" r="E53">
        <v>30</v>
      </c>
      <c t="s" s="21" r="F53">
        <v>30</v>
      </c>
      <c t="str" s="30" r="G53">
        <f>HYPERLINK("http://sofifa.com/en/14w/p/n/13","Den")</f>
        <v>Den</v>
      </c>
      <c t="str" s="30" r="H53">
        <f>HYPERLINK("http://sofifa.com/en/14w/p/149686-jores-okore","J. Okore")</f>
        <v>J. Okore</v>
      </c>
      <c s="21" r="I53">
        <v>73</v>
      </c>
      <c t="s" s="21" r="J53">
        <v>75</v>
      </c>
      <c t="s" s="21" r="K53">
        <v>89</v>
      </c>
      <c s="21" r="L53">
        <v>20</v>
      </c>
      <c s="42" r="M53">
        <v>3.5</v>
      </c>
      <c s="42" r="N53">
        <v>0.008</v>
      </c>
      <c s="42" r="O53"/>
      <c s="42" r="P53">
        <f>IF((O53&gt;0),N53,0)</f>
        <v>0</v>
      </c>
      <c s="42" r="Q53"/>
    </row>
    <row r="54">
      <c t="s" s="42" r="A54">
        <v>29</v>
      </c>
      <c s="42" r="B54">
        <v>53</v>
      </c>
      <c s="21" r="C54">
        <v>12</v>
      </c>
      <c t="s" s="21" r="D54">
        <v>92</v>
      </c>
      <c t="s" s="21" r="E54">
        <v>30</v>
      </c>
      <c t="s" s="21" r="F54">
        <v>30</v>
      </c>
      <c t="str" s="30" r="G54">
        <f>HYPERLINK("http://sofifa.com/en/14w/p/n/14","Eng")</f>
        <v>Eng</v>
      </c>
      <c t="str" s="30" r="H54">
        <f>HYPERLINK("http://sofifa.com/en/14w/p/148689-marc-albrighton","M. Albrighton")</f>
        <v>M. Albrighton</v>
      </c>
      <c s="21" r="I54">
        <v>71</v>
      </c>
      <c t="s" s="21" r="J54">
        <v>84</v>
      </c>
      <c t="s" s="21" r="K54">
        <v>94</v>
      </c>
      <c s="21" r="L54">
        <v>23</v>
      </c>
      <c s="42" r="M54">
        <v>2.4</v>
      </c>
      <c s="42" r="N54">
        <v>0.007</v>
      </c>
      <c s="42" r="O54"/>
      <c s="42" r="P54">
        <f>IF((O54&gt;0),N54,0)</f>
        <v>0</v>
      </c>
      <c s="42" r="Q54"/>
    </row>
    <row r="55">
      <c t="s" s="42" r="A55">
        <v>29</v>
      </c>
      <c s="42" r="B55">
        <v>54</v>
      </c>
      <c s="21" r="C55">
        <v>15</v>
      </c>
      <c t="s" s="21" r="D55">
        <v>92</v>
      </c>
      <c t="s" s="21" r="E55">
        <v>30</v>
      </c>
      <c t="s" s="21" r="F55">
        <v>30</v>
      </c>
      <c t="str" s="30" r="G55">
        <f>HYPERLINK("http://sofifa.com/en/14w/p/n/14","Eng")</f>
        <v>Eng</v>
      </c>
      <c t="str" s="30" r="H55">
        <f>HYPERLINK("http://sofifa.com/en/14w/p/148823-ashley-westwood","A. Westwood")</f>
        <v>A. Westwood</v>
      </c>
      <c s="21" r="I55">
        <v>72</v>
      </c>
      <c t="s" s="21" r="J55">
        <v>98</v>
      </c>
      <c t="s" s="21" r="K55">
        <v>94</v>
      </c>
      <c s="21" r="L55">
        <v>23</v>
      </c>
      <c s="42" r="M55">
        <v>2.6</v>
      </c>
      <c s="42" r="N55">
        <v>0.008</v>
      </c>
      <c s="42" r="O55"/>
      <c s="42" r="P55">
        <f>IF((O55&gt;0),N55,0)</f>
        <v>0</v>
      </c>
      <c s="42" r="Q55"/>
    </row>
    <row r="56">
      <c t="s" s="42" r="A56">
        <v>29</v>
      </c>
      <c s="42" r="B56">
        <v>55</v>
      </c>
      <c s="21" r="C56">
        <v>20</v>
      </c>
      <c t="s" s="21" r="D56">
        <v>92</v>
      </c>
      <c t="s" s="21" r="E56">
        <v>30</v>
      </c>
      <c t="s" s="21" r="F56">
        <v>30</v>
      </c>
      <c t="str" s="30" r="G56">
        <f>HYPERLINK("http://sofifa.com/en/14w/p/n/7","Bel")</f>
        <v>Bel</v>
      </c>
      <c t="str" s="30" r="H56">
        <f>HYPERLINK("http://sofifa.com/en/14w/p/149069-christian-benteke","C. Benteke")</f>
        <v>C. Benteke</v>
      </c>
      <c s="21" r="I56">
        <v>81</v>
      </c>
      <c t="s" s="21" r="J56">
        <v>90</v>
      </c>
      <c t="s" s="21" r="K56">
        <v>91</v>
      </c>
      <c s="21" r="L56">
        <v>22</v>
      </c>
      <c s="42" r="M56">
        <v>15.8</v>
      </c>
      <c s="42" r="N56">
        <v>0.037</v>
      </c>
      <c s="42" r="O56"/>
      <c s="42" r="P56">
        <f>IF((O56&gt;0),N56,0)</f>
        <v>0</v>
      </c>
      <c s="42" r="Q56"/>
    </row>
    <row r="57">
      <c t="s" s="42" r="A57">
        <v>29</v>
      </c>
      <c s="42" r="B57">
        <v>56</v>
      </c>
      <c s="21" r="C57">
        <v>21</v>
      </c>
      <c t="s" s="21" r="D57">
        <v>92</v>
      </c>
      <c t="s" s="21" r="E57">
        <v>30</v>
      </c>
      <c t="s" s="21" r="F57">
        <v>30</v>
      </c>
      <c t="str" s="30" r="G57">
        <f>HYPERLINK("http://sofifa.com/en/14w/p/n/14","Eng")</f>
        <v>Eng</v>
      </c>
      <c t="str" s="30" r="H57">
        <f>HYPERLINK("http://sofifa.com/en/14w/p/149280-jordan-bowery","J. Bowery")</f>
        <v>J. Bowery</v>
      </c>
      <c s="21" r="I57">
        <v>61</v>
      </c>
      <c t="s" s="21" r="J57">
        <v>90</v>
      </c>
      <c t="s" s="21" r="K57">
        <v>73</v>
      </c>
      <c s="21" r="L57">
        <v>21</v>
      </c>
      <c s="42" r="M57">
        <v>0.8</v>
      </c>
      <c s="42" r="N57">
        <v>0.003</v>
      </c>
      <c s="42" r="O57"/>
      <c s="42" r="P57">
        <f>IF((O57&gt;0),N57,0)</f>
        <v>0</v>
      </c>
      <c s="42" r="Q57"/>
    </row>
    <row r="58">
      <c t="s" s="42" r="A58">
        <v>29</v>
      </c>
      <c s="42" r="B58">
        <v>57</v>
      </c>
      <c s="21" r="C58">
        <v>56</v>
      </c>
      <c t="s" s="21" r="D58">
        <v>97</v>
      </c>
      <c t="s" s="21" r="E58">
        <v>30</v>
      </c>
      <c t="s" s="21" r="F58">
        <v>30</v>
      </c>
      <c t="str" s="30" r="G58">
        <f>HYPERLINK("http://sofifa.com/en/14w/p/n/47","Swi")</f>
        <v>Swi</v>
      </c>
      <c t="str" s="30" r="H58">
        <f>HYPERLINK("http://sofifa.com/en/14w/p/149493-benjamin-siegrist","B. Siegrist")</f>
        <v>B. Siegrist</v>
      </c>
      <c s="21" r="I58">
        <v>64</v>
      </c>
      <c t="s" s="21" r="J58">
        <v>70</v>
      </c>
      <c t="s" s="21" r="K58">
        <v>91</v>
      </c>
      <c s="21" r="L58">
        <v>21</v>
      </c>
      <c s="42" r="M58">
        <v>0.8</v>
      </c>
      <c s="42" r="N58">
        <v>0.004</v>
      </c>
      <c s="42" r="O58"/>
      <c s="42" r="P58">
        <f>IF((O58&gt;0),N58,0)</f>
        <v>0</v>
      </c>
      <c s="42" r="Q58"/>
    </row>
    <row r="59">
      <c t="s" s="42" r="A59">
        <v>29</v>
      </c>
      <c s="42" r="B59">
        <v>58</v>
      </c>
      <c s="21" r="C59">
        <v>37</v>
      </c>
      <c t="s" s="21" r="D59">
        <v>97</v>
      </c>
      <c t="s" s="21" r="E59">
        <v>30</v>
      </c>
      <c t="s" s="21" r="F59">
        <v>30</v>
      </c>
      <c t="str" s="30" r="G59">
        <f>HYPERLINK("http://sofifa.com/en/14w/p/n/14","Eng")</f>
        <v>Eng</v>
      </c>
      <c t="str" s="30" r="H59">
        <f>HYPERLINK("http://sofifa.com/en/14w/p/150591-callum-robinson","C. Robinson")</f>
        <v>C. Robinson</v>
      </c>
      <c s="21" r="I59">
        <v>59</v>
      </c>
      <c t="s" s="21" r="J59">
        <v>90</v>
      </c>
      <c t="s" s="21" r="K59">
        <v>82</v>
      </c>
      <c s="21" r="L59">
        <v>18</v>
      </c>
      <c s="42" r="M59">
        <v>0.5</v>
      </c>
      <c s="42" r="N59">
        <v>0.002</v>
      </c>
      <c s="42" r="O59"/>
      <c s="42" r="P59">
        <f>IF((O59&gt;0),N59,0)</f>
        <v>0</v>
      </c>
      <c s="42" r="Q59"/>
    </row>
    <row r="60">
      <c t="s" s="42" r="A60">
        <v>29</v>
      </c>
      <c s="42" r="B60">
        <v>59</v>
      </c>
      <c s="21" r="C60">
        <v>57</v>
      </c>
      <c t="s" s="21" r="D60">
        <v>97</v>
      </c>
      <c t="s" s="21" r="E60">
        <v>30</v>
      </c>
      <c t="s" s="21" r="F60">
        <v>30</v>
      </c>
      <c t="str" s="30" r="G60">
        <f>HYPERLINK("http://sofifa.com/en/14w/p/n/23","Hun")</f>
        <v>Hun</v>
      </c>
      <c t="str" s="30" r="H60">
        <f>HYPERLINK("http://sofifa.com/en/14w/p/149378-andras-stieber","A. Stieber")</f>
        <v>A. Stieber</v>
      </c>
      <c s="21" r="I60">
        <v>59</v>
      </c>
      <c t="s" s="21" r="J60">
        <v>87</v>
      </c>
      <c t="s" s="21" r="K60">
        <v>89</v>
      </c>
      <c s="21" r="L60">
        <v>21</v>
      </c>
      <c s="42" r="M60">
        <v>0.4</v>
      </c>
      <c s="42" r="N60">
        <v>0.003</v>
      </c>
      <c s="42" r="O60"/>
      <c s="42" r="P60">
        <f>IF((O60&gt;0),N60,0)</f>
        <v>0</v>
      </c>
      <c s="42" r="Q60"/>
    </row>
    <row r="61">
      <c t="s" s="42" r="A61">
        <v>29</v>
      </c>
      <c s="42" r="B61">
        <v>60</v>
      </c>
      <c s="21" r="C61">
        <v>36</v>
      </c>
      <c t="s" s="21" r="D61">
        <v>97</v>
      </c>
      <c t="s" s="21" r="E61">
        <v>30</v>
      </c>
      <c t="s" s="21" r="F61">
        <v>30</v>
      </c>
      <c t="str" s="30" r="G61">
        <f>HYPERLINK("http://sofifa.com/en/14w/p/n/14","Eng")</f>
        <v>Eng</v>
      </c>
      <c t="str" s="30" r="H61">
        <f>HYPERLINK("http://sofifa.com/en/14w/p/149744-daniel-johnson","D. Johnson")</f>
        <v>D. Johnson</v>
      </c>
      <c s="21" r="I61">
        <v>62</v>
      </c>
      <c t="s" s="21" r="J61">
        <v>81</v>
      </c>
      <c t="s" s="21" r="K61">
        <v>94</v>
      </c>
      <c s="21" r="L61">
        <v>20</v>
      </c>
      <c s="42" r="M61">
        <v>0.7</v>
      </c>
      <c s="42" r="N61">
        <v>0.003</v>
      </c>
      <c s="42" r="O61"/>
      <c s="42" r="P61">
        <f>IF((O61&gt;0),N61,0)</f>
        <v>0</v>
      </c>
      <c s="42" r="Q61"/>
    </row>
    <row r="62">
      <c t="s" s="42" r="A62">
        <v>29</v>
      </c>
      <c s="42" r="B62">
        <v>61</v>
      </c>
      <c s="21" r="C62">
        <v>22</v>
      </c>
      <c t="s" s="21" r="D62">
        <v>97</v>
      </c>
      <c t="s" s="21" r="E62">
        <v>30</v>
      </c>
      <c t="s" s="21" r="F62">
        <v>30</v>
      </c>
      <c t="str" s="30" r="G62">
        <f>HYPERLINK("http://sofifa.com/en/14w/p/n/14","Eng")</f>
        <v>Eng</v>
      </c>
      <c t="str" s="30" r="H62">
        <f>HYPERLINK("http://sofifa.com/en/14w/p/149643-gary-gardner","G. Gardner")</f>
        <v>G. Gardner</v>
      </c>
      <c s="21" r="I62">
        <v>68</v>
      </c>
      <c t="s" s="21" r="J62">
        <v>81</v>
      </c>
      <c t="s" s="21" r="K62">
        <v>99</v>
      </c>
      <c s="21" r="L62">
        <v>21</v>
      </c>
      <c s="42" r="M62">
        <v>1.7</v>
      </c>
      <c s="42" r="N62">
        <v>0.005</v>
      </c>
      <c s="42" r="O62"/>
      <c s="42" r="P62">
        <f>IF((O62&gt;0),N62,0)</f>
        <v>0</v>
      </c>
      <c s="42" r="Q62"/>
    </row>
    <row r="63">
      <c t="s" s="42" r="A63">
        <v>29</v>
      </c>
      <c s="42" r="B63">
        <v>62</v>
      </c>
      <c s="21" r="C63">
        <v>35</v>
      </c>
      <c t="s" s="21" r="D63">
        <v>97</v>
      </c>
      <c t="s" s="21" r="E63">
        <v>30</v>
      </c>
      <c t="s" s="21" r="F63">
        <v>30</v>
      </c>
      <c t="str" s="30" r="G63">
        <f>HYPERLINK("http://sofifa.com/en/14w/p/n/25","Rep")</f>
        <v>Rep</v>
      </c>
      <c t="str" s="30" r="H63">
        <f>HYPERLINK("http://sofifa.com/en/14w/p/143729-shay-given","S. Given")</f>
        <v>S. Given</v>
      </c>
      <c s="21" r="I63">
        <v>76</v>
      </c>
      <c t="s" s="21" r="J63">
        <v>70</v>
      </c>
      <c t="s" s="21" r="K63">
        <v>73</v>
      </c>
      <c s="21" r="L63">
        <v>37</v>
      </c>
      <c s="42" r="M63">
        <v>2</v>
      </c>
      <c s="42" r="N63">
        <v>0.019</v>
      </c>
      <c s="42" r="O63"/>
      <c s="42" r="P63">
        <f>IF((O63&gt;0),N63,0)</f>
        <v>0</v>
      </c>
      <c s="42" r="Q63"/>
    </row>
    <row r="64">
      <c t="s" s="42" r="A64">
        <v>29</v>
      </c>
      <c s="42" r="B64">
        <v>63</v>
      </c>
      <c s="21" r="C64">
        <v>17</v>
      </c>
      <c t="s" s="21" r="D64">
        <v>97</v>
      </c>
      <c t="s" s="21" r="E64">
        <v>30</v>
      </c>
      <c t="s" s="21" r="F64">
        <v>30</v>
      </c>
      <c t="str" s="30" r="G64">
        <f>HYPERLINK("http://sofifa.com/en/14w/p/n/195","Aus")</f>
        <v>Aus</v>
      </c>
      <c t="str" s="30" r="H64">
        <f>HYPERLINK("http://sofifa.com/en/14w/p/148461-chris-herd","C. Herd")</f>
        <v>C. Herd</v>
      </c>
      <c s="21" r="I64">
        <v>66</v>
      </c>
      <c t="s" s="21" r="J64">
        <v>98</v>
      </c>
      <c t="s" s="21" r="K64">
        <v>86</v>
      </c>
      <c s="21" r="L64">
        <v>24</v>
      </c>
      <c s="42" r="M64">
        <v>1.1</v>
      </c>
      <c s="42" r="N64">
        <v>0.005</v>
      </c>
      <c s="42" r="O64"/>
      <c s="42" r="P64">
        <f>IF((O64&gt;0),N64,0)</f>
        <v>0</v>
      </c>
      <c s="42" r="Q64"/>
    </row>
    <row r="65">
      <c t="s" s="42" r="A65">
        <v>29</v>
      </c>
      <c s="42" r="B65">
        <v>64</v>
      </c>
      <c s="21" r="C65">
        <v>51</v>
      </c>
      <c t="s" s="21" r="D65">
        <v>97</v>
      </c>
      <c t="s" s="21" r="E65">
        <v>30</v>
      </c>
      <c t="s" s="21" r="F65">
        <v>30</v>
      </c>
      <c t="str" s="30" r="G65">
        <f>HYPERLINK("http://sofifa.com/en/14w/p/n/25","Rep")</f>
        <v>Rep</v>
      </c>
      <c t="str" s="30" r="H65">
        <f>HYPERLINK("http://sofifa.com/en/14w/p/150226-michael-drennan","M. Drennan")</f>
        <v>M. Drennan</v>
      </c>
      <c s="21" r="I65">
        <v>60</v>
      </c>
      <c t="s" s="21" r="J65">
        <v>90</v>
      </c>
      <c t="s" s="21" r="K65">
        <v>79</v>
      </c>
      <c s="21" r="L65">
        <v>19</v>
      </c>
      <c s="42" r="M65">
        <v>0.7</v>
      </c>
      <c s="42" r="N65">
        <v>0.003</v>
      </c>
      <c s="42" r="O65"/>
      <c s="42" r="P65">
        <f>IF((O65&gt;0),N65,0)</f>
        <v>0</v>
      </c>
      <c s="42" r="Q65"/>
    </row>
    <row r="66">
      <c t="s" s="42" r="A66">
        <v>29</v>
      </c>
      <c s="42" r="B66">
        <v>65</v>
      </c>
      <c s="21" r="C66">
        <v>41</v>
      </c>
      <c t="s" s="21" r="D66">
        <v>97</v>
      </c>
      <c t="s" s="21" r="E66">
        <v>30</v>
      </c>
      <c t="s" s="21" r="F66">
        <v>30</v>
      </c>
      <c t="str" s="30" r="G66">
        <f>HYPERLINK("http://sofifa.com/en/14w/p/n/42","Sco")</f>
        <v>Sco</v>
      </c>
      <c t="str" s="30" r="H66">
        <f>HYPERLINK("http://sofifa.com/en/14w/p/146875-alan-hutton","A. Hutton")</f>
        <v>A. Hutton</v>
      </c>
      <c s="21" r="I66">
        <v>71</v>
      </c>
      <c t="s" s="21" r="J66">
        <v>72</v>
      </c>
      <c t="s" s="21" r="K66">
        <v>73</v>
      </c>
      <c s="21" r="L66">
        <v>28</v>
      </c>
      <c s="42" r="M66">
        <v>2</v>
      </c>
      <c s="42" r="N66">
        <v>0.008</v>
      </c>
      <c s="42" r="O66"/>
      <c s="42" r="P66">
        <f>IF((O66&gt;0),N66,0)</f>
        <v>0</v>
      </c>
      <c s="42" r="Q66"/>
    </row>
    <row r="67">
      <c t="s" s="42" r="A67">
        <v>29</v>
      </c>
      <c s="42" r="B67">
        <v>66</v>
      </c>
      <c s="21" r="C67">
        <v>50</v>
      </c>
      <c t="s" s="21" r="D67">
        <v>97</v>
      </c>
      <c t="s" s="21" r="E67">
        <v>30</v>
      </c>
      <c t="s" s="21" r="F67">
        <v>30</v>
      </c>
      <c t="str" s="30" r="G67">
        <f>HYPERLINK("http://sofifa.com/en/14w/p/n/90","Sai")</f>
        <v>Sai</v>
      </c>
      <c t="str" s="30" r="H67">
        <f>HYPERLINK("http://sofifa.com/en/14w/p/150135-janoi-donacien","J. Donacien")</f>
        <v>J. Donacien</v>
      </c>
      <c s="21" r="I67">
        <v>60</v>
      </c>
      <c t="s" s="21" r="J67">
        <v>75</v>
      </c>
      <c t="s" s="21" r="K67">
        <v>89</v>
      </c>
      <c s="21" r="L67">
        <v>19</v>
      </c>
      <c s="42" r="M67">
        <v>0.5</v>
      </c>
      <c s="42" r="N67">
        <v>0.003</v>
      </c>
      <c s="42" r="O67"/>
      <c s="42" r="P67">
        <f>IF((O67&gt;0),N67,0)</f>
        <v>0</v>
      </c>
      <c s="42" r="Q67"/>
    </row>
    <row r="68">
      <c t="s" s="42" r="A68">
        <v>15</v>
      </c>
      <c s="42" r="B68">
        <v>67</v>
      </c>
      <c s="21" r="C68">
        <v>1</v>
      </c>
      <c t="s" s="21" r="D68">
        <v>70</v>
      </c>
      <c t="s" s="21" r="E68">
        <v>16</v>
      </c>
      <c t="s" s="21" r="F68">
        <v>16</v>
      </c>
      <c t="str" s="30" r="G68">
        <f>HYPERLINK("http://sofifa.com/en/14w/p/n/12","Cze")</f>
        <v>Cze</v>
      </c>
      <c t="str" s="30" r="H68">
        <f>HYPERLINK("http://sofifa.com/en/14w/p/145950-petr-cech","P. Čech")</f>
        <v>P. Čech</v>
      </c>
      <c s="21" r="I68">
        <v>85</v>
      </c>
      <c t="s" s="21" r="J68">
        <v>70</v>
      </c>
      <c t="s" s="21" r="K68">
        <v>71</v>
      </c>
      <c s="21" r="L68">
        <v>31</v>
      </c>
      <c s="42" r="M68">
        <v>12.8</v>
      </c>
      <c s="42" r="N68">
        <v>0.116</v>
      </c>
      <c s="42" r="O68"/>
      <c s="42" r="P68">
        <f>IF((O68&gt;0),N68,0)</f>
        <v>0</v>
      </c>
      <c s="42" r="Q68"/>
    </row>
    <row r="69">
      <c t="s" s="42" r="A69">
        <v>15</v>
      </c>
      <c s="42" r="B69">
        <v>68</v>
      </c>
      <c s="21" r="C69">
        <v>2</v>
      </c>
      <c t="s" s="21" r="D69">
        <v>72</v>
      </c>
      <c t="s" s="21" r="E69">
        <v>16</v>
      </c>
      <c t="s" s="21" r="F69">
        <v>16</v>
      </c>
      <c t="str" s="30" r="G69">
        <f>HYPERLINK("http://sofifa.com/en/14w/p/n/51","Ser")</f>
        <v>Ser</v>
      </c>
      <c t="str" s="30" r="H69">
        <f>HYPERLINK("http://sofifa.com/en/14w/p/146593-branislav-ivanovic","B. Ivanović")</f>
        <v>B. Ivanović</v>
      </c>
      <c s="21" r="I69">
        <v>80</v>
      </c>
      <c t="s" s="21" r="J69">
        <v>72</v>
      </c>
      <c t="s" s="21" r="K69">
        <v>99</v>
      </c>
      <c s="21" r="L69">
        <v>29</v>
      </c>
      <c s="42" r="M69">
        <v>8.1</v>
      </c>
      <c s="42" r="N69">
        <v>0.032</v>
      </c>
      <c s="42" r="O69"/>
      <c s="42" r="P69">
        <f>IF((O69&gt;0),N69,0)</f>
        <v>0</v>
      </c>
      <c s="42" r="Q69"/>
    </row>
    <row r="70">
      <c t="s" s="42" r="A70">
        <v>15</v>
      </c>
      <c s="42" r="B70">
        <v>69</v>
      </c>
      <c s="21" r="C70">
        <v>24</v>
      </c>
      <c t="s" s="21" r="D70">
        <v>74</v>
      </c>
      <c t="s" s="21" r="E70">
        <v>16</v>
      </c>
      <c t="s" s="21" r="F70">
        <v>16</v>
      </c>
      <c t="str" s="30" r="G70">
        <f>HYPERLINK("http://sofifa.com/en/14w/p/n/14","Eng")</f>
        <v>Eng</v>
      </c>
      <c t="str" s="30" r="H70">
        <f>HYPERLINK("http://sofifa.com/en/14w/p/147259-gary-cahill","G. Cahill")</f>
        <v>G. Cahill</v>
      </c>
      <c s="21" r="I70">
        <v>80</v>
      </c>
      <c t="s" s="21" r="J70">
        <v>75</v>
      </c>
      <c t="s" s="21" r="K70">
        <v>99</v>
      </c>
      <c s="21" r="L70">
        <v>27</v>
      </c>
      <c s="42" r="M70">
        <v>9.3</v>
      </c>
      <c s="42" r="N70">
        <v>0.03</v>
      </c>
      <c s="42" r="O70"/>
      <c s="42" r="P70">
        <f>IF((O70&gt;0),N70,0)</f>
        <v>0</v>
      </c>
      <c s="42" r="Q70"/>
    </row>
    <row r="71">
      <c t="s" s="42" r="A71">
        <v>15</v>
      </c>
      <c s="42" r="B71">
        <v>70</v>
      </c>
      <c s="21" r="C71">
        <v>26</v>
      </c>
      <c t="s" s="21" r="D71">
        <v>77</v>
      </c>
      <c t="s" s="21" r="E71">
        <v>16</v>
      </c>
      <c t="s" s="21" r="F71">
        <v>16</v>
      </c>
      <c t="str" s="30" r="G71">
        <f>HYPERLINK("http://sofifa.com/en/14w/p/n/14","Eng")</f>
        <v>Eng</v>
      </c>
      <c t="str" s="30" r="H71">
        <f>HYPERLINK("http://sofifa.com/en/14w/p/145421-john-terry","J. Terry")</f>
        <v>J. Terry</v>
      </c>
      <c s="21" r="I71">
        <v>83</v>
      </c>
      <c t="s" s="21" r="J71">
        <v>75</v>
      </c>
      <c t="s" s="21" r="K71">
        <v>99</v>
      </c>
      <c s="21" r="L71">
        <v>32</v>
      </c>
      <c s="42" r="M71">
        <v>11.4</v>
      </c>
      <c s="42" r="N71">
        <v>0.082</v>
      </c>
      <c s="42" r="O71"/>
      <c s="42" r="P71">
        <f>IF((O71&gt;0),N71,0)</f>
        <v>0</v>
      </c>
      <c s="42" r="Q71"/>
    </row>
    <row r="72">
      <c t="s" s="42" r="A72">
        <v>15</v>
      </c>
      <c s="42" r="B72">
        <v>71</v>
      </c>
      <c s="21" r="C72">
        <v>3</v>
      </c>
      <c t="s" s="21" r="D72">
        <v>78</v>
      </c>
      <c t="s" s="21" r="E72">
        <v>16</v>
      </c>
      <c t="s" s="21" r="F72">
        <v>16</v>
      </c>
      <c t="str" s="30" r="G72">
        <f>HYPERLINK("http://sofifa.com/en/14w/p/n/14","Eng")</f>
        <v>Eng</v>
      </c>
      <c t="str" s="30" r="H72">
        <f>HYPERLINK("http://sofifa.com/en/14w/p/145434-ashley-cole","A. Cole")</f>
        <v>A. Cole</v>
      </c>
      <c s="21" r="I72">
        <v>85</v>
      </c>
      <c t="s" s="21" r="J72">
        <v>78</v>
      </c>
      <c t="s" s="21" r="K72">
        <v>94</v>
      </c>
      <c s="21" r="L72">
        <v>32</v>
      </c>
      <c s="42" r="M72">
        <v>14.2</v>
      </c>
      <c s="42" r="N72">
        <v>0.12</v>
      </c>
      <c s="42" r="O72"/>
      <c s="42" r="P72">
        <f>IF((O72&gt;0),N72,0)</f>
        <v>0</v>
      </c>
      <c s="42" r="Q72"/>
    </row>
    <row r="73">
      <c t="s" s="42" r="A73">
        <v>15</v>
      </c>
      <c s="42" r="B73">
        <v>72</v>
      </c>
      <c s="21" r="C73">
        <v>7</v>
      </c>
      <c t="s" s="21" r="D73">
        <v>80</v>
      </c>
      <c t="s" s="21" r="E73">
        <v>16</v>
      </c>
      <c t="s" s="21" r="F73">
        <v>16</v>
      </c>
      <c t="str" s="30" r="G73">
        <f>HYPERLINK("http://sofifa.com/en/14w/p/n/54","Bra")</f>
        <v>Bra</v>
      </c>
      <c t="str" s="30" r="H73">
        <f>HYPERLINK("http://sofifa.com/en/14w/p/147719-ramires-santos-do-nascimen","Ramires")</f>
        <v>Ramires</v>
      </c>
      <c s="21" r="I73">
        <v>80</v>
      </c>
      <c t="s" s="21" r="J73">
        <v>98</v>
      </c>
      <c t="s" s="21" r="K73">
        <v>79</v>
      </c>
      <c s="21" r="L73">
        <v>26</v>
      </c>
      <c s="42" r="M73">
        <v>9.5</v>
      </c>
      <c s="42" r="N73">
        <v>0.03</v>
      </c>
      <c s="42" r="O73"/>
      <c s="42" r="P73">
        <f>IF((O73&gt;0),N73,0)</f>
        <v>0</v>
      </c>
      <c s="42" r="Q73"/>
    </row>
    <row r="74">
      <c t="s" s="42" r="A74">
        <v>15</v>
      </c>
      <c s="42" r="B74">
        <v>73</v>
      </c>
      <c s="21" r="C74">
        <v>8</v>
      </c>
      <c t="s" s="21" r="D74">
        <v>83</v>
      </c>
      <c t="s" s="21" r="E74">
        <v>16</v>
      </c>
      <c t="s" s="21" r="F74">
        <v>16</v>
      </c>
      <c t="str" s="30" r="G74">
        <f>HYPERLINK("http://sofifa.com/en/14w/p/n/14","Eng")</f>
        <v>Eng</v>
      </c>
      <c t="str" s="30" r="H74">
        <f>HYPERLINK("http://sofifa.com/en/14w/p/144520-frank-lampard","F. Lampard")</f>
        <v>F. Lampard</v>
      </c>
      <c s="21" r="I74">
        <v>81</v>
      </c>
      <c t="s" s="21" r="J74">
        <v>81</v>
      </c>
      <c t="s" s="21" r="K74">
        <v>89</v>
      </c>
      <c s="21" r="L74">
        <v>35</v>
      </c>
      <c s="42" r="M74">
        <v>7.2</v>
      </c>
      <c s="42" r="N74">
        <v>0.051</v>
      </c>
      <c s="42" r="O74"/>
      <c s="42" r="P74">
        <f>IF((O74&gt;0),N74,0)</f>
        <v>0</v>
      </c>
      <c s="42" r="Q74"/>
    </row>
    <row r="75">
      <c t="s" s="42" r="A75">
        <v>15</v>
      </c>
      <c s="42" r="B75">
        <v>74</v>
      </c>
      <c s="21" r="C75">
        <v>14</v>
      </c>
      <c t="s" s="21" r="D75">
        <v>84</v>
      </c>
      <c t="s" s="21" r="E75">
        <v>16</v>
      </c>
      <c t="s" s="21" r="F75">
        <v>16</v>
      </c>
      <c t="str" s="30" r="G75">
        <f>HYPERLINK("http://sofifa.com/en/14w/p/n/21","Ger")</f>
        <v>Ger</v>
      </c>
      <c t="str" s="30" r="H75">
        <f>HYPERLINK("http://sofifa.com/en/14w/p/149042-andre-schurrle","A. Schürrle")</f>
        <v>A. Schürrle</v>
      </c>
      <c s="21" r="I75">
        <v>80</v>
      </c>
      <c t="s" s="21" r="J75">
        <v>87</v>
      </c>
      <c t="s" s="21" r="K75">
        <v>89</v>
      </c>
      <c s="21" r="L75">
        <v>22</v>
      </c>
      <c s="42" r="M75">
        <v>12.5</v>
      </c>
      <c s="42" r="N75">
        <v>0.028</v>
      </c>
      <c s="42" r="O75"/>
      <c s="42" r="P75">
        <f>IF((O75&gt;0),N75,0)</f>
        <v>0</v>
      </c>
      <c s="42" r="Q75"/>
    </row>
    <row r="76">
      <c t="s" s="42" r="A76">
        <v>15</v>
      </c>
      <c s="42" r="B76">
        <v>75</v>
      </c>
      <c s="21" r="C76">
        <v>17</v>
      </c>
      <c t="s" s="21" r="D76">
        <v>87</v>
      </c>
      <c t="s" s="21" r="E76">
        <v>16</v>
      </c>
      <c t="s" s="21" r="F76">
        <v>16</v>
      </c>
      <c t="str" s="30" r="G76">
        <f>HYPERLINK("http://sofifa.com/en/14w/p/n/7","Bel")</f>
        <v>Bel</v>
      </c>
      <c t="str" s="30" r="H76">
        <f>HYPERLINK("http://sofifa.com/en/14w/p/149104-eden-hazard","E. Hazard")</f>
        <v>E. Hazard</v>
      </c>
      <c s="21" r="I76">
        <v>85</v>
      </c>
      <c t="s" s="21" r="J76">
        <v>87</v>
      </c>
      <c t="s" s="21" r="K76">
        <v>86</v>
      </c>
      <c s="21" r="L76">
        <v>22</v>
      </c>
      <c s="42" r="M76">
        <v>23.7</v>
      </c>
      <c s="42" r="N76">
        <v>0.092</v>
      </c>
      <c s="42" r="O76"/>
      <c s="42" r="P76">
        <f>IF((O76&gt;0),N76,0)</f>
        <v>0</v>
      </c>
      <c s="42" r="Q76"/>
    </row>
    <row r="77">
      <c t="s" s="42" r="A77">
        <v>15</v>
      </c>
      <c s="42" r="B77">
        <v>76</v>
      </c>
      <c s="21" r="C77">
        <v>11</v>
      </c>
      <c t="s" s="21" r="D77">
        <v>88</v>
      </c>
      <c t="s" s="21" r="E77">
        <v>16</v>
      </c>
      <c t="s" s="21" r="F77">
        <v>16</v>
      </c>
      <c t="str" s="30" r="G77">
        <f>HYPERLINK("http://sofifa.com/en/14w/p/n/54","Bra")</f>
        <v>Bra</v>
      </c>
      <c t="str" s="30" r="H77">
        <f>HYPERLINK("http://sofifa.com/en/14w/p/149349-oscar-dos-santos-emboaba","Oscar")</f>
        <v>Oscar</v>
      </c>
      <c s="21" r="I77">
        <v>83</v>
      </c>
      <c t="s" s="21" r="J77">
        <v>88</v>
      </c>
      <c t="s" s="21" r="K77">
        <v>82</v>
      </c>
      <c s="21" r="L77">
        <v>21</v>
      </c>
      <c s="42" r="M77">
        <v>19.4</v>
      </c>
      <c s="42" r="N77">
        <v>0.06</v>
      </c>
      <c s="42" r="O77"/>
      <c s="42" r="P77">
        <f>IF((O77&gt;0),N77,0)</f>
        <v>0</v>
      </c>
      <c s="42" r="Q77"/>
    </row>
    <row r="78">
      <c t="s" s="42" r="A78">
        <v>15</v>
      </c>
      <c s="42" r="B78">
        <v>77</v>
      </c>
      <c s="21" r="C78">
        <v>29</v>
      </c>
      <c t="s" s="21" r="D78">
        <v>90</v>
      </c>
      <c t="s" s="21" r="E78">
        <v>16</v>
      </c>
      <c t="s" s="21" r="F78">
        <v>16</v>
      </c>
      <c t="str" s="30" r="G78">
        <f>HYPERLINK("http://sofifa.com/en/14w/p/n/103","Cam")</f>
        <v>Cam</v>
      </c>
      <c t="str" s="30" r="H78">
        <f>HYPERLINK("http://sofifa.com/en/14w/p/145514-samuel-etoo","S. Eto'o")</f>
        <v>S. Eto'o</v>
      </c>
      <c s="21" r="I78">
        <v>84</v>
      </c>
      <c t="s" s="21" r="J78">
        <v>90</v>
      </c>
      <c t="s" s="21" r="K78">
        <v>79</v>
      </c>
      <c s="21" r="L78">
        <v>32</v>
      </c>
      <c s="42" r="M78">
        <v>18.2</v>
      </c>
      <c s="42" r="N78">
        <v>0.1</v>
      </c>
      <c s="42" r="O78"/>
      <c s="42" r="P78">
        <f>IF((O78&gt;0),N78,0)</f>
        <v>0</v>
      </c>
      <c s="42" r="Q78"/>
    </row>
    <row r="79">
      <c t="s" s="42" r="A79">
        <v>15</v>
      </c>
      <c s="42" r="B79">
        <v>78</v>
      </c>
      <c s="21" r="C79">
        <v>23</v>
      </c>
      <c t="s" s="21" r="D79">
        <v>92</v>
      </c>
      <c t="s" s="21" r="E79">
        <v>16</v>
      </c>
      <c t="s" s="21" r="F79">
        <v>16</v>
      </c>
      <c t="str" s="30" r="G79">
        <f>HYPERLINK("http://sofifa.com/en/14w/p/n/195","Aus")</f>
        <v>Aus</v>
      </c>
      <c t="str" s="30" r="H79">
        <f>HYPERLINK("http://sofifa.com/en/14w/p/142437-mark-schwarzer","M. Schwarzer")</f>
        <v>M. Schwarzer</v>
      </c>
      <c s="21" r="I79">
        <v>79</v>
      </c>
      <c t="s" s="21" r="J79">
        <v>70</v>
      </c>
      <c t="s" s="21" r="K79">
        <v>71</v>
      </c>
      <c s="21" r="L79">
        <v>40</v>
      </c>
      <c s="42" r="M79">
        <v>2.1</v>
      </c>
      <c s="42" r="N79">
        <v>0.028</v>
      </c>
      <c s="42" r="O79"/>
      <c s="42" r="P79">
        <f>IF((O79&gt;0),N79,0)</f>
        <v>0</v>
      </c>
      <c s="42" r="Q79"/>
    </row>
    <row r="80">
      <c t="s" s="42" r="A80">
        <v>15</v>
      </c>
      <c s="42" r="B80">
        <v>79</v>
      </c>
      <c s="21" r="C80">
        <v>28</v>
      </c>
      <c t="s" s="21" r="D80">
        <v>92</v>
      </c>
      <c t="s" s="21" r="E80">
        <v>16</v>
      </c>
      <c t="s" s="21" r="F80">
        <v>16</v>
      </c>
      <c t="str" s="30" r="G80">
        <f>HYPERLINK("http://sofifa.com/en/14w/p/n/45","Spa")</f>
        <v>Spa</v>
      </c>
      <c t="str" s="30" r="H80">
        <f>HYPERLINK("http://sofifa.com/en/14w/p/148607-cesar-azpilicueta-tanco","Azpilicueta")</f>
        <v>Azpilicueta</v>
      </c>
      <c s="21" r="I80">
        <v>77</v>
      </c>
      <c t="s" s="21" r="J80">
        <v>72</v>
      </c>
      <c t="s" s="21" r="K80">
        <v>82</v>
      </c>
      <c s="21" r="L80">
        <v>23</v>
      </c>
      <c s="42" r="M80">
        <v>5.6</v>
      </c>
      <c s="42" r="N80">
        <v>0.016</v>
      </c>
      <c s="42" r="O80"/>
      <c s="42" r="P80">
        <f>IF((O80&gt;0),N80,0)</f>
        <v>0</v>
      </c>
      <c s="42" r="Q80"/>
    </row>
    <row r="81">
      <c t="s" s="42" r="A81">
        <v>15</v>
      </c>
      <c s="42" r="B81">
        <v>80</v>
      </c>
      <c s="21" r="C81">
        <v>15</v>
      </c>
      <c t="s" s="21" r="D81">
        <v>92</v>
      </c>
      <c t="s" s="21" r="E81">
        <v>16</v>
      </c>
      <c t="s" s="21" r="F81">
        <v>16</v>
      </c>
      <c t="str" s="30" r="G81">
        <f>HYPERLINK("http://sofifa.com/en/14w/p/n/7","Bel")</f>
        <v>Bel</v>
      </c>
      <c t="str" s="30" r="H81">
        <f>HYPERLINK("http://sofifa.com/en/14w/p/149276-kevin-de-bruyne","K. De Bruyne")</f>
        <v>K. De Bruyne</v>
      </c>
      <c s="21" r="I81">
        <v>81</v>
      </c>
      <c t="s" s="21" r="J81">
        <v>88</v>
      </c>
      <c t="s" s="21" r="K81">
        <v>79</v>
      </c>
      <c s="21" r="L81">
        <v>22</v>
      </c>
      <c s="42" r="M81">
        <v>14.2</v>
      </c>
      <c s="42" r="N81">
        <v>0.037</v>
      </c>
      <c s="42" r="O81"/>
      <c s="42" r="P81">
        <f>IF((O81&gt;0),N81,0)</f>
        <v>0</v>
      </c>
      <c s="42" r="Q81"/>
    </row>
    <row r="82">
      <c t="s" s="42" r="A82">
        <v>15</v>
      </c>
      <c s="42" r="B82">
        <v>81</v>
      </c>
      <c s="21" r="C82">
        <v>16</v>
      </c>
      <c t="s" s="21" r="D82">
        <v>92</v>
      </c>
      <c t="s" s="21" r="E82">
        <v>16</v>
      </c>
      <c t="s" s="21" r="F82">
        <v>16</v>
      </c>
      <c t="str" s="30" r="G82">
        <f>HYPERLINK("http://sofifa.com/en/14w/p/n/34","Net")</f>
        <v>Net</v>
      </c>
      <c t="str" s="30" r="H82">
        <f>HYPERLINK("http://sofifa.com/en/14w/p/149798-marco-van-ginkel","M. van Ginkel")</f>
        <v>M. van Ginkel</v>
      </c>
      <c s="21" r="I82">
        <v>76</v>
      </c>
      <c t="s" s="21" r="J82">
        <v>81</v>
      </c>
      <c t="s" s="21" r="K82">
        <v>73</v>
      </c>
      <c s="21" r="L82">
        <v>20</v>
      </c>
      <c s="42" r="M82">
        <v>5.5</v>
      </c>
      <c s="42" r="N82">
        <v>0.012</v>
      </c>
      <c s="42" r="O82"/>
      <c s="42" r="P82">
        <f>IF((O82&gt;0),N82,0)</f>
        <v>0</v>
      </c>
      <c s="42" r="Q82"/>
    </row>
    <row r="83">
      <c t="s" s="42" r="A83">
        <v>15</v>
      </c>
      <c s="42" r="B83">
        <v>82</v>
      </c>
      <c s="21" r="C83">
        <v>22</v>
      </c>
      <c t="s" s="21" r="D83">
        <v>92</v>
      </c>
      <c t="s" s="21" r="E83">
        <v>16</v>
      </c>
      <c t="s" s="21" r="F83">
        <v>16</v>
      </c>
      <c t="str" s="30" r="G83">
        <f>HYPERLINK("http://sofifa.com/en/14w/p/n/54","Bra")</f>
        <v>Bra</v>
      </c>
      <c t="str" s="30" r="H83">
        <f>HYPERLINK("http://sofifa.com/en/14w/p/148223-willian-borges-da-silva","Willian")</f>
        <v>Willian</v>
      </c>
      <c s="21" r="I83">
        <v>83</v>
      </c>
      <c t="s" s="21" r="J83">
        <v>96</v>
      </c>
      <c t="s" s="21" r="K83">
        <v>94</v>
      </c>
      <c s="21" r="L83">
        <v>24</v>
      </c>
      <c s="42" r="M83">
        <v>18.3</v>
      </c>
      <c s="42" r="N83">
        <v>0.068</v>
      </c>
      <c s="42" r="O83"/>
      <c s="42" r="P83">
        <f>IF((O83&gt;0),N83,0)</f>
        <v>0</v>
      </c>
      <c s="42" r="Q83"/>
    </row>
    <row r="84">
      <c t="s" s="42" r="A84">
        <v>15</v>
      </c>
      <c s="42" r="B84">
        <v>83</v>
      </c>
      <c s="21" r="C84">
        <v>4</v>
      </c>
      <c t="s" s="21" r="D84">
        <v>92</v>
      </c>
      <c t="s" s="21" r="E84">
        <v>16</v>
      </c>
      <c t="s" s="21" r="F84">
        <v>16</v>
      </c>
      <c t="str" s="30" r="G84">
        <f>HYPERLINK("http://sofifa.com/en/14w/p/n/54","Bra")</f>
        <v>Bra</v>
      </c>
      <c t="str" s="30" r="H84">
        <f>HYPERLINK("http://sofifa.com/en/14w/p/147748-david-luiz-moreira-marinho","David Luiz")</f>
        <v>David Luiz</v>
      </c>
      <c s="21" r="I84">
        <v>82</v>
      </c>
      <c t="s" s="21" r="J84">
        <v>75</v>
      </c>
      <c t="s" s="21" r="K84">
        <v>99</v>
      </c>
      <c s="21" r="L84">
        <v>26</v>
      </c>
      <c s="42" r="M84">
        <v>13.2</v>
      </c>
      <c s="42" r="N84">
        <v>0.053</v>
      </c>
      <c s="42" r="O84"/>
      <c s="42" r="P84">
        <f>IF((O84&gt;0),N84,0)</f>
        <v>0</v>
      </c>
      <c s="42" r="Q84"/>
    </row>
    <row r="85">
      <c t="s" s="42" r="A85">
        <v>15</v>
      </c>
      <c s="42" r="B85">
        <v>84</v>
      </c>
      <c s="21" r="C85">
        <v>5</v>
      </c>
      <c t="s" s="21" r="D85">
        <v>92</v>
      </c>
      <c t="s" s="21" r="E85">
        <v>16</v>
      </c>
      <c t="s" s="21" r="F85">
        <v>16</v>
      </c>
      <c t="str" s="30" r="G85">
        <f>HYPERLINK("http://sofifa.com/en/14w/p/n/117","Gha")</f>
        <v>Gha</v>
      </c>
      <c t="str" s="30" r="H85">
        <f>HYPERLINK("http://sofifa.com/en/14w/p/146147-michael-essien","M. Essien")</f>
        <v>M. Essien</v>
      </c>
      <c s="21" r="I85">
        <v>81</v>
      </c>
      <c t="s" s="21" r="J85">
        <v>98</v>
      </c>
      <c t="s" s="21" r="K85">
        <v>82</v>
      </c>
      <c s="21" r="L85">
        <v>30</v>
      </c>
      <c s="42" r="M85">
        <v>9.2</v>
      </c>
      <c s="42" r="N85">
        <v>0.045</v>
      </c>
      <c s="42" r="O85"/>
      <c s="42" r="P85">
        <f>IF((O85&gt;0),N85,0)</f>
        <v>0</v>
      </c>
      <c s="42" r="Q85"/>
    </row>
    <row r="86">
      <c t="s" s="42" r="A86">
        <v>15</v>
      </c>
      <c s="42" r="B86">
        <v>85</v>
      </c>
      <c s="21" r="C86">
        <v>9</v>
      </c>
      <c t="s" s="21" r="D86">
        <v>92</v>
      </c>
      <c t="s" s="21" r="E86">
        <v>16</v>
      </c>
      <c t="s" s="21" r="F86">
        <v>16</v>
      </c>
      <c t="str" s="30" r="G86">
        <f>HYPERLINK("http://sofifa.com/en/14w/p/n/45","Spa")</f>
        <v>Spa</v>
      </c>
      <c t="str" s="30" r="H86">
        <f>HYPERLINK("http://sofifa.com/en/14w/p/146620-fernando-jose-torres-sanz","Fernando Torres")</f>
        <v>Fernando Torres</v>
      </c>
      <c s="21" r="I86">
        <v>82</v>
      </c>
      <c t="s" s="21" r="J86">
        <v>90</v>
      </c>
      <c t="s" s="21" r="K86">
        <v>89</v>
      </c>
      <c s="21" r="L86">
        <v>29</v>
      </c>
      <c s="42" r="M86">
        <v>14.5</v>
      </c>
      <c s="42" r="N86">
        <v>0.057</v>
      </c>
      <c s="42" r="O86"/>
      <c s="42" r="P86">
        <f>IF((O86&gt;0),N86,0)</f>
        <v>0</v>
      </c>
      <c s="42" r="Q86"/>
    </row>
    <row r="87">
      <c t="s" s="42" r="A87">
        <v>15</v>
      </c>
      <c s="42" r="B87">
        <v>86</v>
      </c>
      <c s="21" r="C87">
        <v>12</v>
      </c>
      <c t="s" s="21" r="D87">
        <v>92</v>
      </c>
      <c t="s" s="21" r="E87">
        <v>16</v>
      </c>
      <c t="s" s="21" r="F87">
        <v>16</v>
      </c>
      <c t="str" s="30" r="G87">
        <f>HYPERLINK("http://sofifa.com/en/14w/p/n/133","Nig")</f>
        <v>Nig</v>
      </c>
      <c t="str" s="30" r="H87">
        <f>HYPERLINK("http://sofifa.com/en/14w/p/147748-john-obi-mikel","J. Mikel")</f>
        <v>J. Mikel</v>
      </c>
      <c s="21" r="I87">
        <v>79</v>
      </c>
      <c t="s" s="21" r="J87">
        <v>98</v>
      </c>
      <c t="s" s="21" r="K87">
        <v>99</v>
      </c>
      <c s="21" r="L87">
        <v>26</v>
      </c>
      <c s="42" r="M87">
        <v>7.1</v>
      </c>
      <c s="42" r="N87">
        <v>0.022</v>
      </c>
      <c s="42" r="O87"/>
      <c s="42" r="P87">
        <f>IF((O87&gt;0),N87,0)</f>
        <v>0</v>
      </c>
      <c s="42" r="Q87"/>
    </row>
    <row r="88">
      <c t="s" s="42" r="A88">
        <v>15</v>
      </c>
      <c s="42" r="B88">
        <v>87</v>
      </c>
      <c s="21" r="C88">
        <v>34</v>
      </c>
      <c t="s" s="21" r="D88">
        <v>92</v>
      </c>
      <c t="s" s="21" r="E88">
        <v>16</v>
      </c>
      <c t="s" s="21" r="F88">
        <v>16</v>
      </c>
      <c t="str" s="30" r="G88">
        <f>HYPERLINK("http://sofifa.com/en/14w/p/n/14","Eng")</f>
        <v>Eng</v>
      </c>
      <c t="str" s="30" r="H88">
        <f>HYPERLINK("http://sofifa.com/en/14w/p/148584-ryan-bertrand","R. Bertrand")</f>
        <v>R. Bertrand</v>
      </c>
      <c s="21" r="I88">
        <v>74</v>
      </c>
      <c t="s" s="21" r="J88">
        <v>78</v>
      </c>
      <c t="s" s="21" r="K88">
        <v>82</v>
      </c>
      <c s="21" r="L88">
        <v>23</v>
      </c>
      <c s="42" r="M88">
        <v>3.3</v>
      </c>
      <c s="42" r="N88">
        <v>0.01</v>
      </c>
      <c s="42" r="O88"/>
      <c s="42" r="P88">
        <f>IF((O88&gt;0),N88,0)</f>
        <v>0</v>
      </c>
      <c s="42" r="Q88"/>
    </row>
    <row r="89">
      <c t="s" s="42" r="A89">
        <v>15</v>
      </c>
      <c s="42" r="B89">
        <v>88</v>
      </c>
      <c s="21" r="C89">
        <v>19</v>
      </c>
      <c t="s" s="21" r="D89">
        <v>92</v>
      </c>
      <c t="s" s="21" r="E89">
        <v>16</v>
      </c>
      <c t="s" s="21" r="F89">
        <v>16</v>
      </c>
      <c t="str" s="30" r="G89">
        <f>HYPERLINK("http://sofifa.com/en/14w/p/n/136","Sen")</f>
        <v>Sen</v>
      </c>
      <c t="str" s="30" r="H89">
        <f>HYPERLINK("http://sofifa.com/en/14w/p/147051-demba-ba","D. Ba")</f>
        <v>D. Ba</v>
      </c>
      <c s="21" r="I89">
        <v>81</v>
      </c>
      <c t="s" s="21" r="J89">
        <v>90</v>
      </c>
      <c t="s" s="21" r="K89">
        <v>99</v>
      </c>
      <c s="21" r="L89">
        <v>28</v>
      </c>
      <c s="42" r="M89">
        <v>14</v>
      </c>
      <c s="42" r="N89">
        <v>0.042</v>
      </c>
      <c s="42" r="O89"/>
      <c s="42" r="P89">
        <f>IF((O89&gt;0),N89,0)</f>
        <v>0</v>
      </c>
      <c s="42" r="Q89"/>
    </row>
    <row r="90">
      <c t="s" s="42" r="A90">
        <v>15</v>
      </c>
      <c s="42" r="B90">
        <v>89</v>
      </c>
      <c s="21" r="C90">
        <v>10</v>
      </c>
      <c t="s" s="21" r="D90">
        <v>92</v>
      </c>
      <c t="s" s="21" r="E90">
        <v>16</v>
      </c>
      <c t="s" s="21" r="F90">
        <v>16</v>
      </c>
      <c t="str" s="30" r="G90">
        <f>HYPERLINK("http://sofifa.com/en/14w/p/n/45","Spa")</f>
        <v>Spa</v>
      </c>
      <c t="str" s="30" r="H90">
        <f>HYPERLINK("http://sofifa.com/en/14w/p/148120-juan-manuel-mata-garcia","Juan Mata")</f>
        <v>Juan Mata</v>
      </c>
      <c s="21" r="I90">
        <v>87</v>
      </c>
      <c t="s" s="21" r="J90">
        <v>88</v>
      </c>
      <c t="s" s="21" r="K90">
        <v>106</v>
      </c>
      <c s="21" r="L90">
        <v>25</v>
      </c>
      <c s="42" r="M90">
        <v>38.6</v>
      </c>
      <c s="42" r="N90">
        <v>0.17</v>
      </c>
      <c s="42" r="O90"/>
      <c s="42" r="P90">
        <f>IF((O90&gt;0),N90,0)</f>
        <v>0</v>
      </c>
      <c s="42" r="Q90"/>
    </row>
    <row r="91">
      <c t="s" s="42" r="A91">
        <v>15</v>
      </c>
      <c s="42" r="B91">
        <v>90</v>
      </c>
      <c s="21" r="C91">
        <v>47</v>
      </c>
      <c t="s" s="21" r="D91">
        <v>97</v>
      </c>
      <c t="s" s="21" r="E91">
        <v>16</v>
      </c>
      <c t="s" s="21" r="F91">
        <v>16</v>
      </c>
      <c t="str" s="30" r="G91">
        <f>HYPERLINK("http://sofifa.com/en/14w/p/n/14","Eng")</f>
        <v>Eng</v>
      </c>
      <c t="str" s="30" r="H91">
        <f>HYPERLINK("http://sofifa.com/en/14w/p/150672-lewis-baker","L. Baker")</f>
        <v>L. Baker</v>
      </c>
      <c s="21" r="I91">
        <v>56</v>
      </c>
      <c t="s" s="21" r="J91">
        <v>88</v>
      </c>
      <c t="s" s="21" r="K91">
        <v>82</v>
      </c>
      <c s="21" r="L91">
        <v>18</v>
      </c>
      <c s="42" r="M91">
        <v>0.1</v>
      </c>
      <c s="42" r="N91">
        <v>0.002</v>
      </c>
      <c s="42" r="O91"/>
      <c s="42" r="P91">
        <f>IF((O91&gt;0),N91,0)</f>
        <v>0</v>
      </c>
      <c s="42" r="Q91"/>
    </row>
    <row r="92">
      <c t="s" s="42" r="A92">
        <v>15</v>
      </c>
      <c s="42" r="B92">
        <v>91</v>
      </c>
      <c s="21" r="C92">
        <v>57</v>
      </c>
      <c t="s" s="21" r="D92">
        <v>97</v>
      </c>
      <c t="s" s="21" r="E92">
        <v>16</v>
      </c>
      <c t="s" s="21" r="F92">
        <v>16</v>
      </c>
      <c t="str" s="30" r="G92">
        <f>HYPERLINK("http://sofifa.com/en/14w/p/n/34","Net")</f>
        <v>Net</v>
      </c>
      <c t="str" s="30" r="H92">
        <f>HYPERLINK("http://sofifa.com/en/14w/p/150607-nathan-ake","N. Aké")</f>
        <v>N. Aké</v>
      </c>
      <c s="21" r="I92">
        <v>67</v>
      </c>
      <c t="s" s="21" r="J92">
        <v>75</v>
      </c>
      <c t="s" s="21" r="K92">
        <v>79</v>
      </c>
      <c s="21" r="L92">
        <v>18</v>
      </c>
      <c s="42" r="M92">
        <v>1.6</v>
      </c>
      <c s="42" r="N92">
        <v>0.004</v>
      </c>
      <c s="42" r="O92"/>
      <c s="42" r="P92">
        <f>IF((O92&gt;0),N92,0)</f>
        <v>0</v>
      </c>
      <c s="42" r="Q92"/>
    </row>
    <row r="93">
      <c t="s" s="42" r="A93">
        <v>15</v>
      </c>
      <c s="42" r="B93">
        <v>92</v>
      </c>
      <c s="21" r="C93">
        <v>76</v>
      </c>
      <c t="s" s="21" r="D93">
        <v>97</v>
      </c>
      <c t="s" s="21" r="E93">
        <v>16</v>
      </c>
      <c t="s" s="21" r="F93">
        <v>16</v>
      </c>
      <c t="str" s="30" r="G93">
        <f>HYPERLINK("http://sofifa.com/en/14w/p/n/133","Nig")</f>
        <v>Nig</v>
      </c>
      <c t="str" s="30" r="H93">
        <f>HYPERLINK("http://sofifa.com/en/14w/p/150118-kenneth-omeruo","K. Omeruo")</f>
        <v>K. Omeruo</v>
      </c>
      <c s="21" r="I93">
        <v>65</v>
      </c>
      <c t="s" s="21" r="J93">
        <v>72</v>
      </c>
      <c t="s" s="21" r="K93">
        <v>73</v>
      </c>
      <c s="21" r="L93">
        <v>19</v>
      </c>
      <c s="42" r="M93">
        <v>1</v>
      </c>
      <c s="42" r="N93">
        <v>0.004</v>
      </c>
      <c s="42" r="O93"/>
      <c s="42" r="P93">
        <f>IF((O93&gt;0),N93,0)</f>
        <v>0</v>
      </c>
      <c s="42" r="Q93"/>
    </row>
    <row r="94">
      <c t="s" s="42" r="A94">
        <v>15</v>
      </c>
      <c s="42" r="B94">
        <v>93</v>
      </c>
      <c s="21" r="C94">
        <v>46</v>
      </c>
      <c t="s" s="21" r="D94">
        <v>97</v>
      </c>
      <c t="s" s="21" r="E94">
        <v>16</v>
      </c>
      <c t="s" s="21" r="F94">
        <v>16</v>
      </c>
      <c t="str" s="30" r="G94">
        <f>HYPERLINK("http://sofifa.com/en/14w/p/n/14","Eng")</f>
        <v>Eng</v>
      </c>
      <c t="str" s="30" r="H94">
        <f>HYPERLINK("http://sofifa.com/en/14w/p/150128-jamal-blackman","J. Blackman")</f>
        <v>J. Blackman</v>
      </c>
      <c s="21" r="I94">
        <v>58</v>
      </c>
      <c t="s" s="21" r="J94">
        <v>70</v>
      </c>
      <c t="s" s="21" r="K94">
        <v>71</v>
      </c>
      <c s="21" r="L94">
        <v>19</v>
      </c>
      <c s="42" r="M94">
        <v>0.3</v>
      </c>
      <c s="42" r="N94">
        <v>0.002</v>
      </c>
      <c s="42" r="O94"/>
      <c s="42" r="P94">
        <f>IF((O94&gt;0),N94,0)</f>
        <v>0</v>
      </c>
      <c s="42" r="Q94"/>
    </row>
    <row r="95">
      <c t="s" s="42" r="A95">
        <v>15</v>
      </c>
      <c s="42" r="B95">
        <v>94</v>
      </c>
      <c s="21" r="C95">
        <v>74</v>
      </c>
      <c t="s" s="21" r="D95">
        <v>97</v>
      </c>
      <c t="s" s="21" r="E95">
        <v>16</v>
      </c>
      <c t="s" s="21" r="F95">
        <v>16</v>
      </c>
      <c t="str" s="30" r="G95">
        <f>HYPERLINK("http://sofifa.com/en/14w/p/n/7","Bel")</f>
        <v>Bel</v>
      </c>
      <c t="str" s="30" r="H95">
        <f>HYPERLINK("http://sofifa.com/en/14w/p/149549-lamisha-musonda","L. Musonda")</f>
        <v>L. Musonda</v>
      </c>
      <c s="21" r="I95">
        <v>58</v>
      </c>
      <c t="s" s="21" r="J95">
        <v>98</v>
      </c>
      <c t="s" s="21" r="K95">
        <v>93</v>
      </c>
      <c s="21" r="L95">
        <v>21</v>
      </c>
      <c s="42" r="M95">
        <v>0.3</v>
      </c>
      <c s="42" r="N95">
        <v>0.002</v>
      </c>
      <c s="42" r="O95"/>
      <c s="42" r="P95">
        <f>IF((O95&gt;0),N95,0)</f>
        <v>0</v>
      </c>
      <c s="42" r="Q95"/>
    </row>
    <row r="96">
      <c t="s" s="42" r="A96">
        <v>15</v>
      </c>
      <c s="42" r="B96">
        <v>95</v>
      </c>
      <c s="21" r="C96">
        <v>48</v>
      </c>
      <c t="s" s="21" r="D96">
        <v>97</v>
      </c>
      <c t="s" s="21" r="E96">
        <v>16</v>
      </c>
      <c t="s" s="21" r="F96">
        <v>16</v>
      </c>
      <c t="str" s="30" r="G96">
        <f>HYPERLINK("http://sofifa.com/en/14w/p/n/14","Eng")</f>
        <v>Eng</v>
      </c>
      <c t="str" s="30" r="H96">
        <f>HYPERLINK("http://sofifa.com/en/14w/p/149754-billy-clifford","B. Clifford")</f>
        <v>B. Clifford</v>
      </c>
      <c s="21" r="I96">
        <v>61</v>
      </c>
      <c t="s" s="21" r="J96">
        <v>81</v>
      </c>
      <c t="s" s="21" r="K96">
        <v>106</v>
      </c>
      <c s="21" r="L96">
        <v>20</v>
      </c>
      <c s="42" r="M96">
        <v>0.6</v>
      </c>
      <c s="42" r="N96">
        <v>0.003</v>
      </c>
      <c s="42" r="O96"/>
      <c s="42" r="P96">
        <f>IF((O96&gt;0),N96,0)</f>
        <v>0</v>
      </c>
      <c s="42" r="Q96"/>
    </row>
    <row r="97">
      <c t="s" s="42" r="A97">
        <v>15</v>
      </c>
      <c s="42" r="B97">
        <v>96</v>
      </c>
      <c s="21" r="C97">
        <v>33</v>
      </c>
      <c t="s" s="21" r="D97">
        <v>97</v>
      </c>
      <c t="s" s="21" r="E97">
        <v>16</v>
      </c>
      <c t="s" s="21" r="F97">
        <v>16</v>
      </c>
      <c t="str" s="30" r="G97">
        <f>HYPERLINK("http://sofifa.com/en/14w/p/n/12","Cze")</f>
        <v>Cze</v>
      </c>
      <c t="str" s="30" r="H97">
        <f>HYPERLINK("http://sofifa.com/en/14w/p/149963-tomas-kalas","T. Kalas")</f>
        <v>T. Kalas</v>
      </c>
      <c s="21" r="I97">
        <v>71</v>
      </c>
      <c t="s" s="21" r="J97">
        <v>72</v>
      </c>
      <c t="s" s="21" r="K97">
        <v>89</v>
      </c>
      <c s="21" r="L97">
        <v>20</v>
      </c>
      <c s="42" r="M97">
        <v>2.3</v>
      </c>
      <c s="42" r="N97">
        <v>0.007</v>
      </c>
      <c s="42" r="O97"/>
      <c s="42" r="P97">
        <f>IF((O97&gt;0),N97,0)</f>
        <v>0</v>
      </c>
      <c s="42" r="Q97"/>
    </row>
    <row r="98">
      <c t="s" s="42" r="A98">
        <v>15</v>
      </c>
      <c s="42" r="B98">
        <v>97</v>
      </c>
      <c s="21" r="C98">
        <v>72</v>
      </c>
      <c t="s" s="21" r="D98">
        <v>97</v>
      </c>
      <c t="s" s="21" r="E98">
        <v>16</v>
      </c>
      <c t="s" s="21" r="F98">
        <v>16</v>
      </c>
      <c t="str" s="30" r="G98">
        <f>HYPERLINK("http://sofifa.com/en/14w/p/n/42","Sco")</f>
        <v>Sco</v>
      </c>
      <c t="str" s="30" r="H98">
        <f>HYPERLINK("http://sofifa.com/en/14w/p/150811-islam-feruz","I. Feruz")</f>
        <v>I. Feruz</v>
      </c>
      <c s="21" r="I98">
        <v>57</v>
      </c>
      <c t="s" s="21" r="J98">
        <v>90</v>
      </c>
      <c t="s" s="21" r="K98">
        <v>107</v>
      </c>
      <c s="21" r="L98">
        <v>17</v>
      </c>
      <c s="42" r="M98">
        <v>0.3</v>
      </c>
      <c s="42" r="N98">
        <v>0.002</v>
      </c>
      <c s="42" r="O98"/>
      <c s="42" r="P98">
        <f>IF((O98&gt;0),N98,0)</f>
        <v>0</v>
      </c>
      <c s="42" r="Q98"/>
    </row>
    <row r="99">
      <c t="s" s="42" r="A99">
        <v>15</v>
      </c>
      <c s="42" r="B99">
        <v>98</v>
      </c>
      <c s="21" r="C99">
        <v>40</v>
      </c>
      <c t="s" s="21" r="D99">
        <v>97</v>
      </c>
      <c t="s" s="21" r="E99">
        <v>16</v>
      </c>
      <c t="s" s="21" r="F99">
        <v>16</v>
      </c>
      <c t="str" s="30" r="G99">
        <f>HYPERLINK("http://sofifa.com/en/14w/p/n/38","Por")</f>
        <v>Por</v>
      </c>
      <c t="str" s="30" r="H99">
        <f>HYPERLINK("http://sofifa.com/en/14w/p/143547-henri-hilario-meireles-alves-s","Hilário")</f>
        <v>Hilário</v>
      </c>
      <c s="21" r="I99">
        <v>70</v>
      </c>
      <c t="s" s="21" r="J99">
        <v>70</v>
      </c>
      <c t="s" s="21" r="K99">
        <v>99</v>
      </c>
      <c s="21" r="L99">
        <v>37</v>
      </c>
      <c s="42" r="M99">
        <v>0.8</v>
      </c>
      <c s="42" r="N99">
        <v>0.009</v>
      </c>
      <c s="42" r="O99"/>
      <c s="42" r="P99">
        <f>IF((O99&gt;0),N99,0)</f>
        <v>0</v>
      </c>
      <c s="42" r="Q99"/>
    </row>
    <row r="100">
      <c t="s" s="42" r="A100">
        <v>15</v>
      </c>
      <c s="42" r="B100">
        <v>99</v>
      </c>
      <c s="21" r="C100">
        <v>32</v>
      </c>
      <c t="s" s="21" r="D100">
        <v>97</v>
      </c>
      <c t="s" s="21" r="E100">
        <v>16</v>
      </c>
      <c t="s" s="21" r="F100">
        <v>16</v>
      </c>
      <c t="str" s="30" r="G100">
        <f>HYPERLINK("http://sofifa.com/en/14w/p/n/13","Den")</f>
        <v>Den</v>
      </c>
      <c t="str" s="30" r="H100">
        <f>HYPERLINK("http://sofifa.com/en/14w/p/151024-andreas-christensen","A. Christensen")</f>
        <v>A. Christensen</v>
      </c>
      <c s="21" r="I100">
        <v>58</v>
      </c>
      <c t="s" s="21" r="J100">
        <v>75</v>
      </c>
      <c t="s" s="21" r="K100">
        <v>99</v>
      </c>
      <c s="21" r="L100">
        <v>17</v>
      </c>
      <c s="42" r="M100">
        <v>0.3</v>
      </c>
      <c s="42" r="N100">
        <v>0.002</v>
      </c>
      <c s="42" r="O100"/>
      <c s="42" r="P100">
        <f>IF((O100&gt;0),N100,0)</f>
        <v>0</v>
      </c>
      <c s="42" r="Q100"/>
    </row>
    <row r="101">
      <c t="s" s="42" r="A101">
        <v>31</v>
      </c>
      <c s="42" r="B101">
        <v>100</v>
      </c>
      <c s="21" r="C101">
        <v>24</v>
      </c>
      <c t="s" s="21" r="D101">
        <v>70</v>
      </c>
      <c t="s" s="42" r="E101">
        <v>32</v>
      </c>
      <c t="s" s="42" r="F101">
        <v>32</v>
      </c>
      <c t="str" s="30" r="G101">
        <f>HYPERLINK("http://sofifa.com/en/14w/p/n/95","Uni")</f>
        <v>Uni</v>
      </c>
      <c t="str" s="30" r="H101">
        <f>HYPERLINK("http://sofifa.com/en/14w/p/144779-tim-howard","T. Howard")</f>
        <v>T. Howard</v>
      </c>
      <c s="21" r="I101">
        <v>81</v>
      </c>
      <c t="s" s="21" r="J101">
        <v>70</v>
      </c>
      <c t="s" s="21" r="K101">
        <v>95</v>
      </c>
      <c s="21" r="L101">
        <v>34</v>
      </c>
      <c s="42" r="M101">
        <v>6.2</v>
      </c>
      <c s="42" r="N101">
        <v>0.051</v>
      </c>
      <c s="42" r="O101"/>
      <c s="42" r="P101">
        <f>IF((O101&gt;0),N101,0)</f>
        <v>0</v>
      </c>
      <c s="42" r="Q101"/>
    </row>
    <row r="102">
      <c t="s" s="42" r="A102">
        <v>31</v>
      </c>
      <c s="42" r="B102">
        <v>101</v>
      </c>
      <c s="21" r="C102">
        <v>23</v>
      </c>
      <c t="s" s="21" r="D102">
        <v>72</v>
      </c>
      <c t="s" s="42" r="E102">
        <v>32</v>
      </c>
      <c t="s" s="42" r="F102">
        <v>32</v>
      </c>
      <c t="str" s="30" r="G102">
        <f>HYPERLINK("http://sofifa.com/en/14w/p/n/25","Rep")</f>
        <v>Rep</v>
      </c>
      <c t="str" s="30" r="H102">
        <f>HYPERLINK("http://sofifa.com/en/14w/p/148286-seamus-coleman","S. Coleman")</f>
        <v>S. Coleman</v>
      </c>
      <c s="21" r="I102">
        <v>74</v>
      </c>
      <c t="s" s="21" r="J102">
        <v>72</v>
      </c>
      <c t="s" s="21" r="K102">
        <v>82</v>
      </c>
      <c s="21" r="L102">
        <v>24</v>
      </c>
      <c s="42" r="M102">
        <v>3.2</v>
      </c>
      <c s="42" r="N102">
        <v>0.011</v>
      </c>
      <c s="42" r="O102"/>
      <c s="42" r="P102">
        <f>IF((O102&gt;0),N102,0)</f>
        <v>0</v>
      </c>
      <c s="42" r="Q102"/>
    </row>
    <row r="103">
      <c t="s" s="42" r="A103">
        <v>31</v>
      </c>
      <c s="42" r="B103">
        <v>102</v>
      </c>
      <c s="21" r="C103">
        <v>6</v>
      </c>
      <c t="s" s="21" r="D103">
        <v>74</v>
      </c>
      <c t="s" s="42" r="E103">
        <v>32</v>
      </c>
      <c t="s" s="42" r="F103">
        <v>32</v>
      </c>
      <c t="str" s="30" r="G103">
        <f>HYPERLINK("http://sofifa.com/en/14w/p/n/14","Eng")</f>
        <v>Eng</v>
      </c>
      <c t="str" s="30" r="H103">
        <f>HYPERLINK("http://sofifa.com/en/14w/p/146039-phil-jagielka","P. Jagielka")</f>
        <v>P. Jagielka</v>
      </c>
      <c s="21" r="I103">
        <v>80</v>
      </c>
      <c t="s" s="21" r="J103">
        <v>75</v>
      </c>
      <c t="s" s="21" r="K103">
        <v>79</v>
      </c>
      <c s="21" r="L103">
        <v>30</v>
      </c>
      <c s="42" r="M103">
        <v>8.1</v>
      </c>
      <c s="42" r="N103">
        <v>0.034</v>
      </c>
      <c s="42" r="O103"/>
      <c s="42" r="P103">
        <f>IF((O103&gt;0),N103,0)</f>
        <v>0</v>
      </c>
      <c s="42" r="Q103"/>
    </row>
    <row r="104">
      <c t="s" s="42" r="A104">
        <v>31</v>
      </c>
      <c s="42" r="B104">
        <v>103</v>
      </c>
      <c s="21" r="C104">
        <v>15</v>
      </c>
      <c t="s" s="21" r="D104">
        <v>77</v>
      </c>
      <c t="s" s="42" r="E104">
        <v>46</v>
      </c>
      <c t="s" s="42" r="F104">
        <v>32</v>
      </c>
      <c t="str" s="30" r="G104">
        <f>HYPERLINK("http://sofifa.com/en/14w/p/n/18","Fra")</f>
        <v>Fra</v>
      </c>
      <c t="str" s="30" r="H104">
        <f>HYPERLINK("http://sofifa.com/en/14w/p/144334-sylvain-distin","S. Distin")</f>
        <v>S. Distin</v>
      </c>
      <c s="21" r="I104">
        <v>77</v>
      </c>
      <c t="s" s="21" r="J104">
        <v>75</v>
      </c>
      <c t="s" s="21" r="K104">
        <v>91</v>
      </c>
      <c s="21" r="L104">
        <v>35</v>
      </c>
      <c s="42" r="M104">
        <v>3.6</v>
      </c>
      <c s="42" r="N104">
        <v>0.021</v>
      </c>
      <c s="42" r="O104">
        <v>4</v>
      </c>
      <c s="42" r="P104">
        <f>IF((O104&gt;0),N104,0)</f>
        <v>0.021</v>
      </c>
      <c s="42" r="Q104"/>
    </row>
    <row r="105">
      <c t="s" s="42" r="A105">
        <v>31</v>
      </c>
      <c s="42" r="B105">
        <v>104</v>
      </c>
      <c s="21" r="C105">
        <v>3</v>
      </c>
      <c t="s" s="21" r="D105">
        <v>78</v>
      </c>
      <c t="s" s="42" r="E105">
        <v>24</v>
      </c>
      <c t="s" s="42" r="F105">
        <v>32</v>
      </c>
      <c t="str" s="30" r="G105">
        <f>HYPERLINK("http://sofifa.com/en/14w/p/n/14","Eng")</f>
        <v>Eng</v>
      </c>
      <c t="str" s="30" r="H105">
        <f>HYPERLINK("http://sofifa.com/en/14w/p/146886-leighton-baines","L. Baines")</f>
        <v>L. Baines</v>
      </c>
      <c s="21" r="I105">
        <v>83</v>
      </c>
      <c t="s" s="21" r="J105">
        <v>78</v>
      </c>
      <c t="s" s="21" r="K105">
        <v>106</v>
      </c>
      <c s="21" r="L105">
        <v>28</v>
      </c>
      <c s="42" r="M105">
        <v>13.7</v>
      </c>
      <c s="42" r="N105">
        <v>0.071</v>
      </c>
      <c s="42" r="O105">
        <v>13.7</v>
      </c>
      <c s="42" r="P105">
        <f>IF((O105&gt;0),N105,0)</f>
        <v>0.071</v>
      </c>
      <c s="42" r="Q105"/>
    </row>
    <row r="106">
      <c t="s" s="42" r="A106">
        <v>31</v>
      </c>
      <c s="42" r="B106">
        <v>105</v>
      </c>
      <c s="21" r="C106">
        <v>16</v>
      </c>
      <c t="s" s="21" r="D106">
        <v>80</v>
      </c>
      <c t="s" s="42" r="E106">
        <v>32</v>
      </c>
      <c t="s" s="42" r="F106">
        <v>32</v>
      </c>
      <c t="str" s="30" r="G106">
        <f>HYPERLINK("http://sofifa.com/en/14w/p/n/25","Rep")</f>
        <v>Rep</v>
      </c>
      <c t="str" s="30" r="H106">
        <f>HYPERLINK("http://sofifa.com/en/14w/p/149048-james-mccarthy","J. McCarthy")</f>
        <v>J. McCarthy</v>
      </c>
      <c s="21" r="I106">
        <v>75</v>
      </c>
      <c t="s" s="21" r="J106">
        <v>81</v>
      </c>
      <c t="s" s="21" r="K106">
        <v>79</v>
      </c>
      <c s="21" r="L106">
        <v>22</v>
      </c>
      <c s="42" r="M106">
        <v>4.4</v>
      </c>
      <c s="42" r="N106">
        <v>0.012</v>
      </c>
      <c s="42" r="O106"/>
      <c s="42" r="P106">
        <f>IF((O106&gt;0),N106,0)</f>
        <v>0</v>
      </c>
      <c s="42" r="Q106"/>
    </row>
    <row r="107">
      <c t="s" s="42" r="A107">
        <v>31</v>
      </c>
      <c s="42" r="B107">
        <v>106</v>
      </c>
      <c s="21" r="C107">
        <v>11</v>
      </c>
      <c t="s" s="21" r="D107">
        <v>83</v>
      </c>
      <c t="s" s="42" r="E107">
        <v>32</v>
      </c>
      <c t="s" s="42" r="F107">
        <v>32</v>
      </c>
      <c t="str" s="30" r="G107">
        <f>HYPERLINK("http://sofifa.com/en/14w/p/n/7","Bel")</f>
        <v>Bel</v>
      </c>
      <c t="str" s="30" r="H107">
        <f>HYPERLINK("http://sofifa.com/en/14w/p/147914-kevin-mirallas","K. Mirallas")</f>
        <v>K. Mirallas</v>
      </c>
      <c s="21" r="I107">
        <v>80</v>
      </c>
      <c t="s" s="21" r="J107">
        <v>84</v>
      </c>
      <c t="s" s="21" r="K107">
        <v>82</v>
      </c>
      <c s="21" r="L107">
        <v>25</v>
      </c>
      <c s="42" r="M107">
        <v>10.1</v>
      </c>
      <c s="42" r="N107">
        <v>0.03</v>
      </c>
      <c s="42" r="O107"/>
      <c s="42" r="P107">
        <f>IF((O107&gt;0),N107,0)</f>
        <v>0</v>
      </c>
      <c s="42" r="Q107"/>
    </row>
    <row r="108">
      <c t="s" s="42" r="A108">
        <v>31</v>
      </c>
      <c s="42" r="B108">
        <v>107</v>
      </c>
      <c s="21" r="C108">
        <v>14</v>
      </c>
      <c t="s" s="21" r="D108">
        <v>84</v>
      </c>
      <c t="s" s="42" r="E108">
        <v>32</v>
      </c>
      <c t="s" s="42" r="F108">
        <v>32</v>
      </c>
      <c t="str" s="30" r="G108">
        <f>HYPERLINK("http://sofifa.com/en/14w/p/n/42","Sco")</f>
        <v>Sco</v>
      </c>
      <c t="str" s="30" r="H108">
        <f>HYPERLINK("http://sofifa.com/en/14w/p/147528-steven-naismith","S. Naismith")</f>
        <v>S. Naismith</v>
      </c>
      <c s="21" r="I108">
        <v>71</v>
      </c>
      <c t="s" s="21" r="J108">
        <v>84</v>
      </c>
      <c t="s" s="21" r="K108">
        <v>82</v>
      </c>
      <c s="21" r="L108">
        <v>26</v>
      </c>
      <c s="42" r="M108">
        <v>2.3</v>
      </c>
      <c s="42" r="N108">
        <v>0.008</v>
      </c>
      <c s="42" r="O108"/>
      <c s="42" r="P108">
        <f>IF((O108&gt;0),N108,0)</f>
        <v>0</v>
      </c>
      <c s="42" r="Q108"/>
    </row>
    <row r="109">
      <c t="s" s="42" r="A109">
        <v>31</v>
      </c>
      <c s="42" r="B109">
        <v>108</v>
      </c>
      <c s="21" r="C109">
        <v>21</v>
      </c>
      <c t="s" s="21" r="D109">
        <v>87</v>
      </c>
      <c t="s" s="42" r="E109">
        <v>32</v>
      </c>
      <c t="s" s="42" r="F109">
        <v>32</v>
      </c>
      <c t="str" s="30" r="G109">
        <f>HYPERLINK("http://sofifa.com/en/14w/p/n/14","Eng")</f>
        <v>Eng</v>
      </c>
      <c t="str" s="30" r="H109">
        <f>HYPERLINK("http://sofifa.com/en/14w/p/145582-leon-osman","L. Osman")</f>
        <v>L. Osman</v>
      </c>
      <c s="21" r="I109">
        <v>74</v>
      </c>
      <c t="s" s="21" r="J109">
        <v>81</v>
      </c>
      <c t="s" s="21" r="K109">
        <v>86</v>
      </c>
      <c s="21" r="L109">
        <v>32</v>
      </c>
      <c s="42" r="M109">
        <v>2.5</v>
      </c>
      <c s="42" r="N109">
        <v>0.013</v>
      </c>
      <c s="42" r="O109"/>
      <c s="42" r="P109">
        <f>IF((O109&gt;0),N109,0)</f>
        <v>0</v>
      </c>
      <c s="42" r="Q109"/>
    </row>
    <row r="110">
      <c t="s" s="42" r="A110">
        <v>31</v>
      </c>
      <c s="42" r="B110">
        <v>109</v>
      </c>
      <c s="21" r="C110">
        <v>20</v>
      </c>
      <c t="s" s="21" r="D110">
        <v>88</v>
      </c>
      <c t="s" s="42" r="E110">
        <v>50</v>
      </c>
      <c t="s" s="42" r="F110">
        <v>32</v>
      </c>
      <c t="str" s="30" r="G110">
        <f>HYPERLINK("http://sofifa.com/en/14w/p/n/14","Eng")</f>
        <v>Eng</v>
      </c>
      <c t="str" s="30" r="H110">
        <f>HYPERLINK("http://sofifa.com/en/14w/p/150167-ross-barkley","R. Barkley")</f>
        <v>R. Barkley</v>
      </c>
      <c s="21" r="I110">
        <v>75</v>
      </c>
      <c t="s" s="21" r="J110">
        <v>88</v>
      </c>
      <c t="s" s="21" r="K110">
        <v>99</v>
      </c>
      <c s="21" r="L110">
        <v>19</v>
      </c>
      <c s="42" r="M110">
        <v>5.4</v>
      </c>
      <c s="42" r="N110">
        <v>0.01</v>
      </c>
      <c s="42" r="O110">
        <v>5.4</v>
      </c>
      <c s="42" r="P110">
        <f>IF((O110&gt;0),N110,0)</f>
        <v>0.01</v>
      </c>
      <c s="42" r="Q110">
        <v>5.4</v>
      </c>
    </row>
    <row r="111">
      <c t="s" s="42" r="A111">
        <v>31</v>
      </c>
      <c s="42" r="B111">
        <v>110</v>
      </c>
      <c s="21" r="C111">
        <v>17</v>
      </c>
      <c t="s" s="21" r="D111">
        <v>90</v>
      </c>
      <c t="s" s="42" r="E111">
        <v>32</v>
      </c>
      <c t="s" s="42" r="F111">
        <v>32</v>
      </c>
      <c t="str" s="30" r="G111">
        <f>HYPERLINK("http://sofifa.com/en/14w/p/n/7","Bel")</f>
        <v>Bel</v>
      </c>
      <c t="str" s="30" r="H111">
        <f>HYPERLINK("http://sofifa.com/en/14w/p/149961-romelu-lukaku","R. Lukaku")</f>
        <v>R. Lukaku</v>
      </c>
      <c s="21" r="I111">
        <v>77</v>
      </c>
      <c t="s" s="21" r="J111">
        <v>90</v>
      </c>
      <c t="s" s="21" r="K111">
        <v>95</v>
      </c>
      <c s="21" r="L111">
        <v>20</v>
      </c>
      <c s="42" r="M111">
        <v>8.1</v>
      </c>
      <c s="42" r="N111">
        <v>0.014</v>
      </c>
      <c s="42" r="O111"/>
      <c s="42" r="P111">
        <f>IF((O111&gt;0),N111,0)</f>
        <v>0</v>
      </c>
      <c s="42" r="Q111"/>
    </row>
    <row r="112">
      <c t="s" s="42" r="A112">
        <v>31</v>
      </c>
      <c s="42" r="B112">
        <v>111</v>
      </c>
      <c s="21" r="C112">
        <v>19</v>
      </c>
      <c t="s" s="21" r="D112">
        <v>92</v>
      </c>
      <c t="s" s="42" r="E112">
        <v>32</v>
      </c>
      <c t="s" s="42" r="F112">
        <v>32</v>
      </c>
      <c t="str" s="30" r="G112">
        <f>HYPERLINK("http://sofifa.com/en/14w/p/n/136","Sen")</f>
        <v>Sen</v>
      </c>
      <c t="str" s="30" r="H112">
        <f>HYPERLINK("http://sofifa.com/en/14w/p/148919-magaye-gueye","M. Gueye")</f>
        <v>M. Gueye</v>
      </c>
      <c s="21" r="I112">
        <v>71</v>
      </c>
      <c t="s" s="21" r="J112">
        <v>87</v>
      </c>
      <c t="s" s="21" r="K112">
        <v>82</v>
      </c>
      <c s="21" r="L112">
        <v>22</v>
      </c>
      <c s="42" r="M112">
        <v>2.5</v>
      </c>
      <c s="42" r="N112">
        <v>0.007</v>
      </c>
      <c s="42" r="O112"/>
      <c s="42" r="P112">
        <f>IF((O112&gt;0),N112,0)</f>
        <v>0</v>
      </c>
      <c s="42" r="Q112"/>
    </row>
    <row r="113">
      <c t="s" s="42" r="A113">
        <v>31</v>
      </c>
      <c s="42" r="B113">
        <v>112</v>
      </c>
      <c s="21" r="C113">
        <v>1</v>
      </c>
      <c t="s" s="21" r="D113">
        <v>92</v>
      </c>
      <c t="s" s="42" r="E113">
        <v>32</v>
      </c>
      <c t="s" s="42" r="F113">
        <v>32</v>
      </c>
      <c t="str" s="30" r="G113">
        <f>HYPERLINK("http://sofifa.com/en/14w/p/n/45","Spa")</f>
        <v>Spa</v>
      </c>
      <c t="str" s="30" r="H113">
        <f>HYPERLINK("http://sofifa.com/en/14w/p/148900-joel-robles-blazquez","Joel")</f>
        <v>Joel</v>
      </c>
      <c s="21" r="I113">
        <v>70</v>
      </c>
      <c t="s" s="21" r="J113">
        <v>70</v>
      </c>
      <c t="s" s="21" r="K113">
        <v>71</v>
      </c>
      <c s="21" r="L113">
        <v>23</v>
      </c>
      <c s="42" r="M113">
        <v>1.6</v>
      </c>
      <c s="42" r="N113">
        <v>0.006</v>
      </c>
      <c s="42" r="O113"/>
      <c s="42" r="P113">
        <f>IF((O113&gt;0),N113,0)</f>
        <v>0</v>
      </c>
      <c s="42" r="Q113"/>
    </row>
    <row r="114">
      <c t="s" s="42" r="A114">
        <v>31</v>
      </c>
      <c s="42" r="B114">
        <v>113</v>
      </c>
      <c s="21" r="C114">
        <v>10</v>
      </c>
      <c t="s" s="21" r="D114">
        <v>92</v>
      </c>
      <c t="s" s="42" r="E114">
        <v>40</v>
      </c>
      <c t="s" s="42" r="F114">
        <v>32</v>
      </c>
      <c t="str" s="30" r="G114">
        <f>HYPERLINK("http://sofifa.com/en/14w/p/n/45","Spa")</f>
        <v>Spa</v>
      </c>
      <c t="str" s="30" r="H114">
        <f>HYPERLINK("http://sofifa.com/en/14w/p/150265-gerard-deulofeu-lazaro","Deulofeu")</f>
        <v>Deulofeu</v>
      </c>
      <c s="21" r="I114">
        <v>75</v>
      </c>
      <c t="s" s="21" r="J114">
        <v>85</v>
      </c>
      <c t="s" s="21" r="K114">
        <v>82</v>
      </c>
      <c s="21" r="L114">
        <v>19</v>
      </c>
      <c s="42" r="M114">
        <v>5.8</v>
      </c>
      <c s="42" r="N114">
        <v>0.01</v>
      </c>
      <c s="42" r="O114">
        <v>5.8</v>
      </c>
      <c s="42" r="P114">
        <f>IF((O114&gt;0),N114,0)</f>
        <v>0.01</v>
      </c>
      <c s="42" r="Q114"/>
    </row>
    <row r="115">
      <c t="s" s="42" r="A115">
        <v>31</v>
      </c>
      <c s="42" r="B115">
        <v>114</v>
      </c>
      <c s="21" r="C115">
        <v>26</v>
      </c>
      <c t="s" s="21" r="D115">
        <v>92</v>
      </c>
      <c t="s" s="42" r="E115">
        <v>32</v>
      </c>
      <c t="s" s="42" r="F115">
        <v>32</v>
      </c>
      <c t="str" s="30" r="G115">
        <f>HYPERLINK("http://sofifa.com/en/14w/p/n/14","Eng")</f>
        <v>Eng</v>
      </c>
      <c t="str" s="30" r="H115">
        <f>HYPERLINK("http://sofifa.com/en/14w/p/150341-john-stones","J. Stones")</f>
        <v>J. Stones</v>
      </c>
      <c s="21" r="I115">
        <v>68</v>
      </c>
      <c t="s" s="21" r="J115">
        <v>72</v>
      </c>
      <c t="s" s="21" r="K115">
        <v>99</v>
      </c>
      <c s="21" r="L115">
        <v>19</v>
      </c>
      <c s="42" r="M115">
        <v>1.7</v>
      </c>
      <c s="42" r="N115">
        <v>0.005</v>
      </c>
      <c s="42" r="O115"/>
      <c s="42" r="P115">
        <f>IF((O115&gt;0),N115,0)</f>
        <v>0</v>
      </c>
      <c s="42" r="Q115"/>
    </row>
    <row r="116">
      <c t="s" s="42" r="A116">
        <v>31</v>
      </c>
      <c s="42" r="B116">
        <v>115</v>
      </c>
      <c s="21" r="C116">
        <v>18</v>
      </c>
      <c t="s" s="21" r="D116">
        <v>92</v>
      </c>
      <c t="s" s="42" r="E116">
        <v>32</v>
      </c>
      <c t="s" s="42" r="F116">
        <v>32</v>
      </c>
      <c t="str" s="30" r="G116">
        <f>HYPERLINK("http://sofifa.com/en/14w/p/n/14","Eng")</f>
        <v>Eng</v>
      </c>
      <c t="str" s="30" r="H116">
        <f>HYPERLINK("http://sofifa.com/en/14w/p/145499-gareth-barry","G. Barry")</f>
        <v>G. Barry</v>
      </c>
      <c s="21" r="I116">
        <v>79</v>
      </c>
      <c t="s" s="21" r="J116">
        <v>98</v>
      </c>
      <c t="s" s="21" r="K116">
        <v>89</v>
      </c>
      <c s="21" r="L116">
        <v>32</v>
      </c>
      <c s="42" r="M116">
        <v>5.1</v>
      </c>
      <c s="42" r="N116">
        <v>0.026</v>
      </c>
      <c s="42" r="O116"/>
      <c s="42" r="P116">
        <f>IF((O116&gt;0),N116,0)</f>
        <v>0</v>
      </c>
      <c s="42" r="Q116"/>
    </row>
    <row r="117">
      <c t="s" s="42" r="A117">
        <v>31</v>
      </c>
      <c s="42" r="B117">
        <v>116</v>
      </c>
      <c s="21" r="C117">
        <v>7</v>
      </c>
      <c t="s" s="21" r="D117">
        <v>92</v>
      </c>
      <c t="s" s="42" r="E117">
        <v>32</v>
      </c>
      <c t="s" s="42" r="F117">
        <v>32</v>
      </c>
      <c t="str" s="30" r="G117">
        <f>HYPERLINK("http://sofifa.com/en/14w/p/n/10","Cro")</f>
        <v>Cro</v>
      </c>
      <c t="str" s="30" r="H117">
        <f>HYPERLINK("http://sofifa.com/en/14w/p/147145-nikica-jelavic","N. Jelavić")</f>
        <v>N. Jelavić</v>
      </c>
      <c s="21" r="I117">
        <v>76</v>
      </c>
      <c t="s" s="21" r="J117">
        <v>90</v>
      </c>
      <c t="s" s="21" r="K117">
        <v>99</v>
      </c>
      <c s="21" r="L117">
        <v>27</v>
      </c>
      <c s="42" r="M117">
        <v>5.7</v>
      </c>
      <c s="42" r="N117">
        <v>0.015</v>
      </c>
      <c s="42" r="O117"/>
      <c s="42" r="P117">
        <f>IF((O117&gt;0),N117,0)</f>
        <v>0</v>
      </c>
      <c s="42" r="Q117"/>
    </row>
    <row r="118">
      <c t="s" s="42" r="A118">
        <v>31</v>
      </c>
      <c s="42" r="B118">
        <v>117</v>
      </c>
      <c s="21" r="C118">
        <v>22</v>
      </c>
      <c t="s" s="21" r="D118">
        <v>92</v>
      </c>
      <c t="s" s="42" r="E118">
        <v>32</v>
      </c>
      <c t="s" s="42" r="F118">
        <v>32</v>
      </c>
      <c t="str" s="30" r="G118">
        <f>HYPERLINK("http://sofifa.com/en/14w/p/n/140","Sou")</f>
        <v>Sou</v>
      </c>
      <c t="str" s="30" r="H118">
        <f>HYPERLINK("http://sofifa.com/en/14w/p/145886-steven-pienaar","S. Pienaar")</f>
        <v>S. Pienaar</v>
      </c>
      <c s="21" r="I118">
        <v>80</v>
      </c>
      <c t="s" s="21" r="J118">
        <v>87</v>
      </c>
      <c t="s" s="21" r="K118">
        <v>106</v>
      </c>
      <c s="21" r="L118">
        <v>31</v>
      </c>
      <c s="42" r="M118">
        <v>8.3</v>
      </c>
      <c s="42" r="N118">
        <v>0.035</v>
      </c>
      <c s="42" r="O118"/>
      <c s="42" r="P118">
        <f>IF((O118&gt;0),N118,0)</f>
        <v>0</v>
      </c>
      <c s="42" r="Q118"/>
    </row>
    <row r="119">
      <c t="s" s="42" r="A119">
        <v>31</v>
      </c>
      <c s="42" r="B119">
        <v>118</v>
      </c>
      <c s="21" r="C119">
        <v>2</v>
      </c>
      <c t="s" s="21" r="D119">
        <v>92</v>
      </c>
      <c t="s" s="42" r="E119">
        <v>32</v>
      </c>
      <c t="s" s="42" r="F119">
        <v>32</v>
      </c>
      <c t="str" s="30" r="G119">
        <f>HYPERLINK("http://sofifa.com/en/14w/p/n/14","Eng")</f>
        <v>Eng</v>
      </c>
      <c t="str" s="30" r="H119">
        <f>HYPERLINK("http://sofifa.com/en/14w/p/145496-tony-hibbert","T. Hibbert")</f>
        <v>T. Hibbert</v>
      </c>
      <c s="21" r="I119">
        <v>73</v>
      </c>
      <c t="s" s="21" r="J119">
        <v>72</v>
      </c>
      <c t="s" s="21" r="K119">
        <v>86</v>
      </c>
      <c s="21" r="L119">
        <v>32</v>
      </c>
      <c s="42" r="M119">
        <v>2.1</v>
      </c>
      <c s="42" r="N119">
        <v>0.012</v>
      </c>
      <c s="42" r="O119"/>
      <c s="42" r="P119">
        <f>IF((O119&gt;0),N119,0)</f>
        <v>0</v>
      </c>
      <c s="42" r="Q119"/>
    </row>
    <row r="120">
      <c t="s" s="42" r="A120">
        <v>31</v>
      </c>
      <c s="42" r="B120">
        <v>119</v>
      </c>
      <c s="21" r="C120">
        <v>5</v>
      </c>
      <c t="s" s="21" r="D120">
        <v>92</v>
      </c>
      <c t="s" s="42" r="E120">
        <v>32</v>
      </c>
      <c t="s" s="42" r="F120">
        <v>32</v>
      </c>
      <c t="str" s="30" r="G120">
        <f>HYPERLINK("http://sofifa.com/en/14w/p/n/34","Net")</f>
        <v>Net</v>
      </c>
      <c t="str" s="30" r="H120">
        <f>HYPERLINK("http://sofifa.com/en/14w/p/146494-john-heitinga","J. Heitinga")</f>
        <v>J. Heitinga</v>
      </c>
      <c s="21" r="I120">
        <v>77</v>
      </c>
      <c t="s" s="21" r="J120">
        <v>75</v>
      </c>
      <c t="s" s="21" r="K120">
        <v>79</v>
      </c>
      <c s="21" r="L120">
        <v>29</v>
      </c>
      <c s="42" r="M120">
        <v>5</v>
      </c>
      <c s="42" r="N120">
        <v>0.018</v>
      </c>
      <c s="42" r="O120"/>
      <c s="42" r="P120">
        <f>IF((O120&gt;0),N120,0)</f>
        <v>0</v>
      </c>
      <c s="42" r="Q120"/>
    </row>
    <row r="121">
      <c t="s" s="42" r="A121">
        <v>31</v>
      </c>
      <c s="42" r="B121">
        <v>120</v>
      </c>
      <c s="21" r="C121">
        <v>9</v>
      </c>
      <c t="s" s="21" r="D121">
        <v>92</v>
      </c>
      <c t="s" s="42" r="E121">
        <v>32</v>
      </c>
      <c t="s" s="42" r="F121">
        <v>32</v>
      </c>
      <c t="str" s="30" r="G121">
        <f>HYPERLINK("http://sofifa.com/en/14w/p/n/108","Ivo")</f>
        <v>Ivo</v>
      </c>
      <c t="str" s="30" r="H121">
        <f>HYPERLINK("http://sofifa.com/en/14w/p/146490-arouna-kone","A. Koné")</f>
        <v>A. Koné</v>
      </c>
      <c s="21" r="I121">
        <v>78</v>
      </c>
      <c t="s" s="21" r="J121">
        <v>90</v>
      </c>
      <c t="s" s="21" r="K121">
        <v>89</v>
      </c>
      <c s="21" r="L121">
        <v>29</v>
      </c>
      <c s="42" r="M121">
        <v>6.9</v>
      </c>
      <c s="42" r="N121">
        <v>0.02</v>
      </c>
      <c s="42" r="O121"/>
      <c s="42" r="P121">
        <f>IF((O121&gt;0),N121,0)</f>
        <v>0</v>
      </c>
      <c s="42" r="Q121"/>
    </row>
    <row r="122">
      <c t="s" s="42" r="A122">
        <v>31</v>
      </c>
      <c s="42" r="B122">
        <v>121</v>
      </c>
      <c s="21" r="C122">
        <v>32</v>
      </c>
      <c t="s" s="21" r="D122">
        <v>92</v>
      </c>
      <c t="s" s="42" r="E122">
        <v>32</v>
      </c>
      <c t="s" s="42" r="F122">
        <v>32</v>
      </c>
      <c t="str" s="30" r="G122">
        <f>HYPERLINK("http://sofifa.com/en/14w/p/n/58","Par")</f>
        <v>Par</v>
      </c>
      <c t="str" s="30" r="H122">
        <f>HYPERLINK("http://sofifa.com/en/14w/p/146021-antolin-alcaraz","A. Alcaraz")</f>
        <v>A. Alcaraz</v>
      </c>
      <c s="21" r="I122">
        <v>74</v>
      </c>
      <c t="s" s="21" r="J122">
        <v>75</v>
      </c>
      <c t="s" s="21" r="K122">
        <v>99</v>
      </c>
      <c s="21" r="L122">
        <v>30</v>
      </c>
      <c s="42" r="M122">
        <v>2.8</v>
      </c>
      <c s="42" r="N122">
        <v>0.012</v>
      </c>
      <c s="42" r="O122"/>
      <c s="42" r="P122">
        <f>IF((O122&gt;0),N122,0)</f>
        <v>0</v>
      </c>
      <c s="42" r="Q122"/>
    </row>
    <row r="123">
      <c t="s" s="42" r="A123">
        <v>31</v>
      </c>
      <c s="42" r="B123">
        <v>122</v>
      </c>
      <c s="21" r="C123">
        <v>4</v>
      </c>
      <c t="s" s="21" r="D123">
        <v>92</v>
      </c>
      <c t="s" s="42" r="E123">
        <v>32</v>
      </c>
      <c t="s" s="42" r="F123">
        <v>32</v>
      </c>
      <c t="str" s="30" r="G123">
        <f>HYPERLINK("http://sofifa.com/en/14w/p/n/25","Rep")</f>
        <v>Rep</v>
      </c>
      <c t="str" s="30" r="H123">
        <f>HYPERLINK("http://sofifa.com/en/14w/p/147934-darron-gibson","D. Gibson")</f>
        <v>D. Gibson</v>
      </c>
      <c s="21" r="I123">
        <v>77</v>
      </c>
      <c t="s" s="21" r="J123">
        <v>81</v>
      </c>
      <c t="s" s="21" r="K123">
        <v>89</v>
      </c>
      <c s="21" r="L123">
        <v>25</v>
      </c>
      <c s="42" r="M123">
        <v>5.7</v>
      </c>
      <c s="42" r="N123">
        <v>0.017</v>
      </c>
      <c s="42" r="O123"/>
      <c s="42" r="P123">
        <f>IF((O123&gt;0),N123,0)</f>
        <v>0</v>
      </c>
      <c s="42" r="Q123"/>
    </row>
    <row r="124">
      <c t="s" s="42" r="A124">
        <v>31</v>
      </c>
      <c s="42" r="B124">
        <v>123</v>
      </c>
      <c s="21" r="C124">
        <v>50</v>
      </c>
      <c t="s" s="21" r="D124">
        <v>97</v>
      </c>
      <c t="s" s="42" r="E124">
        <v>32</v>
      </c>
      <c t="s" s="42" r="F124">
        <v>32</v>
      </c>
      <c t="str" s="30" r="G124">
        <f>HYPERLINK("http://sofifa.com/en/14w/p/n/14","Eng")</f>
        <v>Eng</v>
      </c>
      <c t="str" s="30" r="H124">
        <f>HYPERLINK("http://sofifa.com/en/14w/p/150855-courtney-duffus","C. Duffus")</f>
        <v>C. Duffus</v>
      </c>
      <c s="21" r="I124">
        <v>59</v>
      </c>
      <c t="s" s="21" r="J124">
        <v>90</v>
      </c>
      <c t="s" s="21" r="K124">
        <v>106</v>
      </c>
      <c s="21" r="L124">
        <v>17</v>
      </c>
      <c s="42" r="M124">
        <v>0.6</v>
      </c>
      <c s="42" r="N124">
        <v>0.002</v>
      </c>
      <c s="42" r="O124"/>
      <c s="42" r="P124">
        <f>IF((O124&gt;0),N124,0)</f>
        <v>0</v>
      </c>
      <c s="42" r="Q124"/>
    </row>
    <row r="125">
      <c t="s" s="42" r="A125">
        <v>31</v>
      </c>
      <c s="42" r="B125">
        <v>124</v>
      </c>
      <c s="21" r="C125">
        <v>51</v>
      </c>
      <c t="s" s="21" r="D125">
        <v>97</v>
      </c>
      <c t="s" s="42" r="E125">
        <v>32</v>
      </c>
      <c t="s" s="42" r="F125">
        <v>32</v>
      </c>
      <c t="str" s="30" r="G125">
        <f>HYPERLINK("http://sofifa.com/en/14w/p/n/14","Eng")</f>
        <v>Eng</v>
      </c>
      <c t="str" s="30" r="H125">
        <f>HYPERLINK("http://sofifa.com/en/14w/p/150925-george-green","G. Green")</f>
        <v>G. Green</v>
      </c>
      <c s="21" r="I125">
        <v>58</v>
      </c>
      <c t="s" s="21" r="J125">
        <v>81</v>
      </c>
      <c t="s" s="21" r="K125">
        <v>89</v>
      </c>
      <c s="21" r="L125">
        <v>17</v>
      </c>
      <c s="42" r="M125">
        <v>0.3</v>
      </c>
      <c s="42" r="N125">
        <v>0.002</v>
      </c>
      <c s="42" r="O125"/>
      <c s="42" r="P125">
        <f>IF((O125&gt;0),N125,0)</f>
        <v>0</v>
      </c>
      <c s="42" r="Q125"/>
    </row>
    <row r="126">
      <c t="s" s="42" r="A126">
        <v>31</v>
      </c>
      <c s="42" r="B126">
        <v>125</v>
      </c>
      <c s="21" r="C126">
        <v>31</v>
      </c>
      <c t="s" s="21" r="D126">
        <v>97</v>
      </c>
      <c t="s" s="42" r="E126">
        <v>32</v>
      </c>
      <c t="s" s="42" r="F126">
        <v>32</v>
      </c>
      <c t="str" s="30" r="G126">
        <f>HYPERLINK("http://sofifa.com/en/14w/p/n/42","Sco")</f>
        <v>Sco</v>
      </c>
      <c t="str" s="30" r="H126">
        <f>HYPERLINK("http://sofifa.com/en/14w/p/150498-matthew-kennedy","M. Kennedy")</f>
        <v>M. Kennedy</v>
      </c>
      <c s="21" r="I126">
        <v>57</v>
      </c>
      <c t="s" s="21" r="J126">
        <v>84</v>
      </c>
      <c t="s" s="21" r="K126">
        <v>94</v>
      </c>
      <c s="21" r="L126">
        <v>18</v>
      </c>
      <c s="42" r="M126">
        <v>0.2</v>
      </c>
      <c s="42" r="N126">
        <v>0.002</v>
      </c>
      <c s="42" r="O126"/>
      <c s="42" r="P126">
        <f>IF((O126&gt;0),N126,0)</f>
        <v>0</v>
      </c>
      <c s="42" r="Q126"/>
    </row>
    <row r="127">
      <c t="s" s="42" r="A127">
        <v>31</v>
      </c>
      <c s="42" r="B127">
        <v>126</v>
      </c>
      <c s="21" r="C127">
        <v>38</v>
      </c>
      <c t="s" s="21" r="D127">
        <v>97</v>
      </c>
      <c t="s" s="42" r="E127">
        <v>32</v>
      </c>
      <c t="s" s="42" r="F127">
        <v>32</v>
      </c>
      <c t="str" s="30" r="G127">
        <f>HYPERLINK("http://sofifa.com/en/14w/p/n/14","Eng")</f>
        <v>Eng</v>
      </c>
      <c t="str" s="30" r="H127">
        <f>HYPERLINK("http://sofifa.com/en/14w/p/150472-matthew-pennington","M. Pennington")</f>
        <v>M. Pennington</v>
      </c>
      <c s="21" r="I127">
        <v>58</v>
      </c>
      <c t="s" s="21" r="J127">
        <v>75</v>
      </c>
      <c t="s" s="21" r="K127">
        <v>106</v>
      </c>
      <c s="21" r="L127">
        <v>18</v>
      </c>
      <c s="42" r="M127">
        <v>0.3</v>
      </c>
      <c s="42" r="N127">
        <v>0.002</v>
      </c>
      <c s="42" r="O127"/>
      <c s="42" r="P127">
        <f>IF((O127&gt;0),N127,0)</f>
        <v>0</v>
      </c>
      <c s="42" r="Q127"/>
    </row>
    <row r="128">
      <c t="s" s="42" r="A128">
        <v>31</v>
      </c>
      <c s="42" r="B128">
        <v>127</v>
      </c>
      <c s="21" r="C128">
        <v>27</v>
      </c>
      <c t="s" s="21" r="D128">
        <v>97</v>
      </c>
      <c t="s" s="42" r="E128">
        <v>32</v>
      </c>
      <c t="s" s="42" r="F128">
        <v>32</v>
      </c>
      <c t="str" s="30" r="G128">
        <f>HYPERLINK("http://sofifa.com/en/14w/p/n/22","Gre")</f>
        <v>Gre</v>
      </c>
      <c t="str" s="30" r="H128">
        <f>HYPERLINK("http://sofifa.com/en/14w/p/149470-apostolos-vellios","A. Vellios")</f>
        <v>A. Vellios</v>
      </c>
      <c s="21" r="I128">
        <v>69</v>
      </c>
      <c t="s" s="21" r="J128">
        <v>90</v>
      </c>
      <c t="s" s="21" r="K128">
        <v>95</v>
      </c>
      <c s="21" r="L128">
        <v>21</v>
      </c>
      <c s="42" r="M128">
        <v>2.3</v>
      </c>
      <c s="42" r="N128">
        <v>0.006</v>
      </c>
      <c s="42" r="O128"/>
      <c s="42" r="P128">
        <f>IF((O128&gt;0),N128,0)</f>
        <v>0</v>
      </c>
      <c s="42" r="Q128"/>
    </row>
    <row r="129">
      <c t="s" s="42" r="A129">
        <v>31</v>
      </c>
      <c s="42" r="B129">
        <v>128</v>
      </c>
      <c s="21" r="C129">
        <v>33</v>
      </c>
      <c t="s" s="21" r="D129">
        <v>97</v>
      </c>
      <c t="s" s="42" r="E129">
        <v>32</v>
      </c>
      <c t="s" s="42" r="F129">
        <v>32</v>
      </c>
      <c t="str" s="30" r="G129">
        <f>HYPERLINK("http://sofifa.com/en/14w/p/n/14","Eng")</f>
        <v>Eng</v>
      </c>
      <c t="str" s="30" r="H129">
        <f>HYPERLINK("http://sofifa.com/en/14w/p/150240-john-lundstram","J. Lundstram")</f>
        <v>J. Lundstram</v>
      </c>
      <c s="21" r="I129">
        <v>58</v>
      </c>
      <c t="s" s="21" r="J129">
        <v>81</v>
      </c>
      <c t="s" s="21" r="K129">
        <v>89</v>
      </c>
      <c s="21" r="L129">
        <v>19</v>
      </c>
      <c s="42" r="M129">
        <v>0.3</v>
      </c>
      <c s="42" r="N129">
        <v>0.002</v>
      </c>
      <c s="42" r="O129"/>
      <c s="42" r="P129">
        <f>IF((O129&gt;0),N129,0)</f>
        <v>0</v>
      </c>
      <c s="42" r="Q129"/>
    </row>
    <row r="130">
      <c t="s" s="42" r="A130">
        <v>31</v>
      </c>
      <c s="42" r="B130">
        <v>129</v>
      </c>
      <c s="21" r="C130">
        <v>37</v>
      </c>
      <c t="s" s="21" r="D130">
        <v>97</v>
      </c>
      <c t="s" s="42" r="E130">
        <v>32</v>
      </c>
      <c t="s" s="42" r="F130">
        <v>32</v>
      </c>
      <c t="str" s="30" r="G130">
        <f>HYPERLINK("http://sofifa.com/en/14w/p/n/14","Eng")</f>
        <v>Eng</v>
      </c>
      <c t="str" s="30" r="H130">
        <f>HYPERLINK("http://sofifa.com/en/14w/p/150269-hallam-hope","H. Hope")</f>
        <v>H. Hope</v>
      </c>
      <c s="21" r="I130">
        <v>59</v>
      </c>
      <c t="s" s="21" r="J130">
        <v>90</v>
      </c>
      <c t="s" s="21" r="K130">
        <v>82</v>
      </c>
      <c s="21" r="L130">
        <v>19</v>
      </c>
      <c s="42" r="M130">
        <v>0.5</v>
      </c>
      <c s="42" r="N130">
        <v>0.002</v>
      </c>
      <c s="42" r="O130"/>
      <c s="42" r="P130">
        <f>IF((O130&gt;0),N130,0)</f>
        <v>0</v>
      </c>
      <c s="42" r="Q130"/>
    </row>
    <row r="131">
      <c t="s" s="42" r="A131">
        <v>31</v>
      </c>
      <c s="42" r="B131">
        <v>130</v>
      </c>
      <c s="21" r="C131">
        <v>8</v>
      </c>
      <c t="s" s="21" r="D131">
        <v>97</v>
      </c>
      <c t="s" s="42" r="E131">
        <v>32</v>
      </c>
      <c t="s" s="42" r="F131">
        <v>32</v>
      </c>
      <c t="str" s="30" r="G131">
        <f>HYPERLINK("http://sofifa.com/en/14w/p/n/72","Cos")</f>
        <v>Cos</v>
      </c>
      <c t="str" s="30" r="H131">
        <f>HYPERLINK("http://sofifa.com/en/14w/p/148781-bryan-oviedo","B. Oviedo")</f>
        <v>B. Oviedo</v>
      </c>
      <c s="21" r="I131">
        <v>67</v>
      </c>
      <c t="s" s="21" r="J131">
        <v>78</v>
      </c>
      <c t="s" s="21" r="K131">
        <v>86</v>
      </c>
      <c s="21" r="L131">
        <v>23</v>
      </c>
      <c s="42" r="M131">
        <v>1.3</v>
      </c>
      <c s="42" r="N131">
        <v>0.005</v>
      </c>
      <c s="42" r="O131"/>
      <c s="42" r="P131">
        <f>IF((O131&gt;0),N131,0)</f>
        <v>0</v>
      </c>
      <c s="42" r="Q131"/>
    </row>
    <row r="132">
      <c t="s" s="42" r="A132">
        <v>31</v>
      </c>
      <c s="42" r="B132">
        <v>131</v>
      </c>
      <c s="21" r="C132">
        <v>35</v>
      </c>
      <c t="s" s="21" r="D132">
        <v>97</v>
      </c>
      <c t="s" s="42" r="E132">
        <v>32</v>
      </c>
      <c t="s" s="42" r="F132">
        <v>32</v>
      </c>
      <c t="str" s="30" r="G132">
        <f>HYPERLINK("http://sofifa.com/en/14w/p/n/14","Eng")</f>
        <v>Eng</v>
      </c>
      <c t="str" s="30" r="H132">
        <f>HYPERLINK("http://sofifa.com/en/14w/p/149687-conor-mcaleny","C. McAleny")</f>
        <v>C. McAleny</v>
      </c>
      <c s="21" r="I132">
        <v>61</v>
      </c>
      <c t="s" s="21" r="J132">
        <v>90</v>
      </c>
      <c t="s" s="21" r="K132">
        <v>86</v>
      </c>
      <c s="21" r="L132">
        <v>20</v>
      </c>
      <c s="42" r="M132">
        <v>0.8</v>
      </c>
      <c s="42" r="N132">
        <v>0.003</v>
      </c>
      <c s="42" r="O132"/>
      <c s="42" r="P132">
        <f>IF((O132&gt;0),N132,0)</f>
        <v>0</v>
      </c>
      <c s="42" r="Q132"/>
    </row>
    <row r="133">
      <c t="s" s="42" r="A133">
        <v>31</v>
      </c>
      <c s="42" r="B133">
        <v>132</v>
      </c>
      <c s="21" r="C133">
        <v>41</v>
      </c>
      <c t="s" s="21" r="D133">
        <v>97</v>
      </c>
      <c t="s" s="42" r="E133">
        <v>32</v>
      </c>
      <c t="s" s="42" r="F133">
        <v>32</v>
      </c>
      <c t="str" s="30" r="G133">
        <f>HYPERLINK("http://sofifa.com/en/14w/p/n/14","Eng")</f>
        <v>Eng</v>
      </c>
      <c t="str" s="30" r="H133">
        <f>HYPERLINK("http://sofifa.com/en/14w/p/150614-chris-long","C. Long")</f>
        <v>C. Long</v>
      </c>
      <c s="21" r="I133">
        <v>57</v>
      </c>
      <c t="s" s="21" r="J133">
        <v>90</v>
      </c>
      <c t="s" s="21" r="K133">
        <v>106</v>
      </c>
      <c s="21" r="L133">
        <v>18</v>
      </c>
      <c s="42" r="M133">
        <v>0.3</v>
      </c>
      <c s="42" r="N133">
        <v>0.002</v>
      </c>
      <c s="42" r="O133"/>
      <c s="42" r="P133">
        <f>IF((O133&gt;0),N133,0)</f>
        <v>0</v>
      </c>
      <c s="42" r="Q133"/>
    </row>
    <row r="134">
      <c t="s" s="42" r="A134">
        <v>23</v>
      </c>
      <c s="42" r="B134">
        <v>133</v>
      </c>
      <c s="21" r="C134">
        <v>22</v>
      </c>
      <c t="s" s="21" r="D134">
        <v>70</v>
      </c>
      <c t="s" s="42" r="E134">
        <v>24</v>
      </c>
      <c t="s" s="42" r="F134">
        <v>24</v>
      </c>
      <c t="str" s="30" r="G134">
        <f>HYPERLINK("http://sofifa.com/en/14w/p/n/7","Bel")</f>
        <v>Bel</v>
      </c>
      <c t="str" s="30" r="H134">
        <f>HYPERLINK("http://sofifa.com/en/14w/p/148067-simon-mignolet","S. Mignolet")</f>
        <v>S. Mignolet</v>
      </c>
      <c s="21" r="I134">
        <v>81</v>
      </c>
      <c t="s" s="21" r="J134">
        <v>70</v>
      </c>
      <c t="s" s="21" r="K134">
        <v>91</v>
      </c>
      <c s="21" r="L134">
        <v>25</v>
      </c>
      <c s="42" r="M134">
        <v>9.7</v>
      </c>
      <c s="42" r="N134">
        <v>0.04</v>
      </c>
      <c s="42" r="O134"/>
      <c s="42" r="P134">
        <f>IF((O134&gt;0),N134,0)</f>
        <v>0</v>
      </c>
      <c s="42" r="Q134"/>
    </row>
    <row r="135">
      <c t="s" s="42" r="A135">
        <v>23</v>
      </c>
      <c s="42" r="B135">
        <v>134</v>
      </c>
      <c s="21" r="C135">
        <v>47</v>
      </c>
      <c t="s" s="21" r="D135">
        <v>100</v>
      </c>
      <c t="s" s="42" r="E135">
        <v>24</v>
      </c>
      <c t="s" s="42" r="F135">
        <v>24</v>
      </c>
      <c t="str" s="30" r="G135">
        <f>HYPERLINK("http://sofifa.com/en/14w/p/n/14","Eng")</f>
        <v>Eng</v>
      </c>
      <c t="str" s="30" r="H135">
        <f>HYPERLINK("http://sofifa.com/en/14w/p/149957-andre-wisdom","A. Wisdom")</f>
        <v>A. Wisdom</v>
      </c>
      <c s="21" r="I135">
        <v>69</v>
      </c>
      <c t="s" s="21" r="J135">
        <v>72</v>
      </c>
      <c t="s" s="21" r="K135">
        <v>73</v>
      </c>
      <c s="21" r="L135">
        <v>20</v>
      </c>
      <c s="42" r="M135">
        <v>1.8</v>
      </c>
      <c s="42" r="N135">
        <v>0.005</v>
      </c>
      <c s="42" r="O135"/>
      <c s="42" r="P135">
        <f>IF((O135&gt;0),N135,0)</f>
        <v>0</v>
      </c>
      <c s="42" r="Q135"/>
    </row>
    <row r="136">
      <c t="s" s="42" r="A136">
        <v>23</v>
      </c>
      <c s="42" r="B136">
        <v>135</v>
      </c>
      <c s="21" r="C136">
        <v>4</v>
      </c>
      <c t="s" s="21" r="D136">
        <v>74</v>
      </c>
      <c t="s" s="42" r="E136">
        <v>32</v>
      </c>
      <c t="s" s="42" r="F136">
        <v>24</v>
      </c>
      <c t="str" s="30" r="G136">
        <f>HYPERLINK("http://sofifa.com/en/14w/p/n/108","Ivo")</f>
        <v>Ivo</v>
      </c>
      <c t="str" s="30" r="H136">
        <f>HYPERLINK("http://sofifa.com/en/14w/p/145523-kolo-toure","K. Touré")</f>
        <v>K. Touré</v>
      </c>
      <c s="21" r="I136">
        <v>80</v>
      </c>
      <c t="s" s="21" r="J136">
        <v>75</v>
      </c>
      <c t="s" s="21" r="K136">
        <v>89</v>
      </c>
      <c s="21" r="L136">
        <v>32</v>
      </c>
      <c s="42" r="M136">
        <v>7.1</v>
      </c>
      <c s="42" r="N136">
        <v>0.036</v>
      </c>
      <c s="42" r="O136">
        <v>7.1</v>
      </c>
      <c s="42" r="P136">
        <f>IF((O136&gt;0),N136,0)</f>
        <v>0.036</v>
      </c>
      <c s="42" r="Q136"/>
    </row>
    <row r="137">
      <c t="s" s="42" r="A137">
        <v>23</v>
      </c>
      <c s="42" r="B137">
        <v>136</v>
      </c>
      <c s="21" r="C137">
        <v>37</v>
      </c>
      <c t="s" s="21" r="D137">
        <v>75</v>
      </c>
      <c t="s" s="42" r="E137">
        <v>24</v>
      </c>
      <c t="s" s="42" r="F137">
        <v>24</v>
      </c>
      <c t="str" s="30" r="G137">
        <f>HYPERLINK("http://sofifa.com/en/14w/p/n/43","Slo")</f>
        <v>Slo</v>
      </c>
      <c t="str" s="30" r="H137">
        <f>HYPERLINK("http://sofifa.com/en/14w/p/146890-martin-skrtel","M. Škrtel")</f>
        <v>M. Škrtel</v>
      </c>
      <c s="21" r="I137">
        <v>81</v>
      </c>
      <c t="s" s="21" r="J137">
        <v>75</v>
      </c>
      <c t="s" s="21" r="K137">
        <v>95</v>
      </c>
      <c s="21" r="L137">
        <v>28</v>
      </c>
      <c s="42" r="M137">
        <v>10.8</v>
      </c>
      <c s="42" r="N137">
        <v>0.042</v>
      </c>
      <c s="42" r="O137"/>
      <c s="42" r="P137">
        <f>IF((O137&gt;0),N137,0)</f>
        <v>0</v>
      </c>
      <c s="42" r="Q137"/>
    </row>
    <row r="138">
      <c t="s" s="42" r="A138">
        <v>23</v>
      </c>
      <c s="42" r="B138">
        <v>137</v>
      </c>
      <c s="21" r="C138">
        <v>17</v>
      </c>
      <c t="s" s="21" r="D138">
        <v>77</v>
      </c>
      <c t="s" s="42" r="E138">
        <v>24</v>
      </c>
      <c t="s" s="42" r="F138">
        <v>24</v>
      </c>
      <c t="str" s="30" r="G138">
        <f>HYPERLINK("http://sofifa.com/en/14w/p/n/18","Fra")</f>
        <v>Fra</v>
      </c>
      <c t="str" s="30" r="H138">
        <f>HYPERLINK("http://sofifa.com/en/14w/p/148776-mamadou-sakho","M. Sakho")</f>
        <v>M. Sakho</v>
      </c>
      <c s="21" r="I138">
        <v>81</v>
      </c>
      <c t="s" s="21" r="J138">
        <v>75</v>
      </c>
      <c t="s" s="21" r="K138">
        <v>99</v>
      </c>
      <c s="21" r="L138">
        <v>23</v>
      </c>
      <c s="42" r="M138">
        <v>12</v>
      </c>
      <c s="42" r="N138">
        <v>0.038</v>
      </c>
      <c s="42" r="O138"/>
      <c s="42" r="P138">
        <f>IF((O138&gt;0),N138,0)</f>
        <v>0</v>
      </c>
      <c s="42" r="Q138"/>
    </row>
    <row r="139">
      <c t="s" s="42" r="A139">
        <v>23</v>
      </c>
      <c s="42" r="B139">
        <v>138</v>
      </c>
      <c s="21" r="C139">
        <v>3</v>
      </c>
      <c t="s" s="21" r="D139">
        <v>101</v>
      </c>
      <c t="s" s="42" r="E139">
        <v>32</v>
      </c>
      <c t="s" s="42" r="F139">
        <v>24</v>
      </c>
      <c t="str" s="30" r="G139">
        <f>HYPERLINK("http://sofifa.com/en/14w/p/n/45","Spa")</f>
        <v>Spa</v>
      </c>
      <c t="str" s="30" r="H139">
        <f>HYPERLINK("http://sofifa.com/en/14w/p/147294-jose-enrique-sanchez-diaz","José Enrique")</f>
        <v>José Enrique</v>
      </c>
      <c s="21" r="I139">
        <v>79</v>
      </c>
      <c t="s" s="21" r="J139">
        <v>78</v>
      </c>
      <c t="s" s="21" r="K139">
        <v>89</v>
      </c>
      <c s="21" r="L139">
        <v>27</v>
      </c>
      <c s="42" r="M139">
        <v>6.6</v>
      </c>
      <c s="42" r="N139">
        <v>0.022</v>
      </c>
      <c s="42" r="O139">
        <v>6.6</v>
      </c>
      <c s="42" r="P139">
        <f>IF((O139&gt;0),N139,0)</f>
        <v>0.022</v>
      </c>
      <c s="42" r="Q139"/>
    </row>
    <row r="140">
      <c t="s" s="42" r="A140">
        <v>23</v>
      </c>
      <c s="42" r="B140">
        <v>139</v>
      </c>
      <c s="21" r="C140">
        <v>8</v>
      </c>
      <c t="s" s="21" r="D140">
        <v>102</v>
      </c>
      <c t="s" s="42" r="E140">
        <v>22</v>
      </c>
      <c t="s" s="42" r="F140">
        <v>24</v>
      </c>
      <c t="str" s="30" r="G140">
        <f>HYPERLINK("http://sofifa.com/en/14w/p/n/14","Eng")</f>
        <v>Eng</v>
      </c>
      <c t="str" s="30" r="H140">
        <f>HYPERLINK("http://sofifa.com/en/14w/p/145230-steven-gerrard","S. Gerrard")</f>
        <v>S. Gerrard</v>
      </c>
      <c s="21" r="I140">
        <v>83</v>
      </c>
      <c t="s" s="21" r="J140">
        <v>81</v>
      </c>
      <c t="s" s="21" r="K140">
        <v>89</v>
      </c>
      <c s="21" r="L140">
        <v>33</v>
      </c>
      <c s="42" r="M140">
        <v>11.7</v>
      </c>
      <c s="42" r="N140">
        <v>0.085</v>
      </c>
      <c s="42" r="O140">
        <v>17.4</v>
      </c>
      <c s="42" r="P140">
        <f>IF((O140&gt;0),N140,0)</f>
        <v>0.085</v>
      </c>
      <c s="42" r="Q140"/>
    </row>
    <row r="141">
      <c t="s" s="42" r="A141">
        <v>23</v>
      </c>
      <c s="42" r="B141">
        <v>140</v>
      </c>
      <c s="21" r="C141">
        <v>14</v>
      </c>
      <c t="s" s="21" r="D141">
        <v>103</v>
      </c>
      <c t="s" s="42" r="E141">
        <v>24</v>
      </c>
      <c t="s" s="42" r="F141">
        <v>24</v>
      </c>
      <c t="str" s="30" r="G141">
        <f>HYPERLINK("http://sofifa.com/en/14w/p/n/14","Eng")</f>
        <v>Eng</v>
      </c>
      <c t="str" s="30" r="H141">
        <f>HYPERLINK("http://sofifa.com/en/14w/p/148900-jordan-henderson","J. Henderson")</f>
        <v>J. Henderson</v>
      </c>
      <c s="21" r="I141">
        <v>75</v>
      </c>
      <c t="s" s="21" r="J141">
        <v>81</v>
      </c>
      <c t="s" s="21" r="K141">
        <v>89</v>
      </c>
      <c s="21" r="L141">
        <v>23</v>
      </c>
      <c s="42" r="M141">
        <v>4.3</v>
      </c>
      <c s="42" r="N141">
        <v>0.012</v>
      </c>
      <c s="42" r="O141"/>
      <c s="42" r="P141">
        <f>IF((O141&gt;0),N141,0)</f>
        <v>0</v>
      </c>
      <c s="42" r="Q141"/>
    </row>
    <row r="142">
      <c t="s" s="42" r="A142">
        <v>23</v>
      </c>
      <c s="42" r="B142">
        <v>141</v>
      </c>
      <c s="21" r="C142">
        <v>12</v>
      </c>
      <c t="s" s="21" r="D142">
        <v>88</v>
      </c>
      <c t="s" s="42" r="E142">
        <v>24</v>
      </c>
      <c t="s" s="42" r="F142">
        <v>24</v>
      </c>
      <c t="str" s="30" r="G142">
        <f>HYPERLINK("http://sofifa.com/en/14w/p/n/133","Nig")</f>
        <v>Nig</v>
      </c>
      <c t="str" s="30" r="H142">
        <f>HYPERLINK("http://sofifa.com/en/14w/p/149078-victor-moses","V. Moses")</f>
        <v>V. Moses</v>
      </c>
      <c s="21" r="I142">
        <v>75</v>
      </c>
      <c t="s" s="21" r="J142">
        <v>84</v>
      </c>
      <c t="s" s="21" r="K142">
        <v>82</v>
      </c>
      <c s="21" r="L142">
        <v>22</v>
      </c>
      <c s="42" r="M142">
        <v>4.6</v>
      </c>
      <c s="42" r="N142">
        <v>0.012</v>
      </c>
      <c s="42" r="O142"/>
      <c s="42" r="P142">
        <f>IF((O142&gt;0),N142,0)</f>
        <v>0</v>
      </c>
      <c s="42" r="Q142"/>
    </row>
    <row r="143">
      <c t="s" s="42" r="A143">
        <v>23</v>
      </c>
      <c s="42" r="B143">
        <v>142</v>
      </c>
      <c s="21" r="C143">
        <v>15</v>
      </c>
      <c t="s" s="21" r="D143">
        <v>104</v>
      </c>
      <c t="s" s="42" r="E143">
        <v>24</v>
      </c>
      <c t="s" s="42" r="F143">
        <v>24</v>
      </c>
      <c t="str" s="30" r="G143">
        <f>HYPERLINK("http://sofifa.com/en/14w/p/n/14","Eng")</f>
        <v>Eng</v>
      </c>
      <c t="str" s="30" r="H143">
        <f>HYPERLINK("http://sofifa.com/en/14w/p/148611-daniel-sturridge","D. Sturridge")</f>
        <v>D. Sturridge</v>
      </c>
      <c s="21" r="I143">
        <v>81</v>
      </c>
      <c t="s" s="21" r="J143">
        <v>90</v>
      </c>
      <c t="s" s="21" r="K143">
        <v>89</v>
      </c>
      <c s="21" r="L143">
        <v>23</v>
      </c>
      <c s="42" r="M143">
        <v>14.5</v>
      </c>
      <c s="42" r="N143">
        <v>0.038</v>
      </c>
      <c s="42" r="O143"/>
      <c s="42" r="P143">
        <f>IF((O143&gt;0),N143,0)</f>
        <v>0</v>
      </c>
      <c s="42" r="Q143"/>
    </row>
    <row r="144">
      <c t="s" s="42" r="A144">
        <v>23</v>
      </c>
      <c s="42" r="B144">
        <v>143</v>
      </c>
      <c s="21" r="C144">
        <v>7</v>
      </c>
      <c t="s" s="21" r="D144">
        <v>105</v>
      </c>
      <c t="s" s="42" r="E144">
        <v>24</v>
      </c>
      <c t="s" s="42" r="F144">
        <v>24</v>
      </c>
      <c t="str" s="30" r="G144">
        <f>HYPERLINK("http://sofifa.com/en/14w/p/n/60","Uru")</f>
        <v>Uru</v>
      </c>
      <c t="str" s="30" r="H144">
        <f>HYPERLINK("http://sofifa.com/en/14w/p/147660-luis-suarez","L. Suárez")</f>
        <v>L. Suárez</v>
      </c>
      <c s="21" r="I144">
        <v>86</v>
      </c>
      <c t="s" s="21" r="J144">
        <v>108</v>
      </c>
      <c t="s" s="21" r="K144">
        <v>79</v>
      </c>
      <c s="21" r="L144">
        <v>26</v>
      </c>
      <c s="42" r="M144">
        <v>31.4</v>
      </c>
      <c s="42" r="N144">
        <v>0.135</v>
      </c>
      <c s="42" r="O144"/>
      <c s="42" r="P144">
        <f>IF((O144&gt;0),N144,0)</f>
        <v>0</v>
      </c>
      <c s="42" r="Q144"/>
    </row>
    <row r="145">
      <c t="s" s="42" r="A145">
        <v>23</v>
      </c>
      <c s="42" r="B145">
        <v>144</v>
      </c>
      <c s="21" r="C145">
        <v>31</v>
      </c>
      <c t="s" s="21" r="D145">
        <v>92</v>
      </c>
      <c t="s" s="42" r="E145">
        <v>24</v>
      </c>
      <c t="s" s="42" r="F145">
        <v>24</v>
      </c>
      <c t="str" s="30" r="G145">
        <f>HYPERLINK("http://sofifa.com/en/14w/p/n/14","Eng")</f>
        <v>Eng</v>
      </c>
      <c t="str" s="30" r="H145">
        <f>HYPERLINK("http://sofifa.com/en/14w/p/150535-raheem-sterling","R. Sterling")</f>
        <v>R. Sterling</v>
      </c>
      <c s="21" r="I145">
        <v>75</v>
      </c>
      <c t="s" s="21" r="J145">
        <v>96</v>
      </c>
      <c t="s" s="21" r="K145">
        <v>106</v>
      </c>
      <c s="21" r="L145">
        <v>18</v>
      </c>
      <c s="42" r="M145">
        <v>5.7</v>
      </c>
      <c s="42" r="N145">
        <v>0.01</v>
      </c>
      <c s="42" r="O145"/>
      <c s="42" r="P145">
        <f>IF((O145&gt;0),N145,0)</f>
        <v>0</v>
      </c>
      <c s="42" r="Q145"/>
    </row>
    <row r="146">
      <c t="s" s="42" r="A146">
        <v>23</v>
      </c>
      <c s="42" r="B146">
        <v>145</v>
      </c>
      <c s="21" r="C146">
        <v>9</v>
      </c>
      <c t="s" s="21" r="D146">
        <v>92</v>
      </c>
      <c t="s" s="42" r="E146">
        <v>24</v>
      </c>
      <c t="s" s="42" r="F146">
        <v>24</v>
      </c>
      <c t="str" s="30" r="G146">
        <f>HYPERLINK("http://sofifa.com/en/14w/p/n/45","Spa")</f>
        <v>Spa</v>
      </c>
      <c t="str" s="30" r="H146">
        <f>HYPERLINK("http://sofifa.com/en/14w/p/147849-iago-aspas-juncal","Iago Aspas")</f>
        <v>Iago Aspas</v>
      </c>
      <c s="21" r="I146">
        <v>76</v>
      </c>
      <c t="s" s="21" r="J146">
        <v>90</v>
      </c>
      <c t="s" s="21" r="K146">
        <v>94</v>
      </c>
      <c s="21" r="L146">
        <v>25</v>
      </c>
      <c s="42" r="M146">
        <v>6.2</v>
      </c>
      <c s="42" r="N146">
        <v>0.015</v>
      </c>
      <c s="42" r="O146"/>
      <c s="42" r="P146">
        <f>IF((O146&gt;0),N146,0)</f>
        <v>0</v>
      </c>
      <c s="42" r="Q146"/>
    </row>
    <row r="147">
      <c t="s" s="42" r="A147">
        <v>23</v>
      </c>
      <c s="42" r="B147">
        <v>146</v>
      </c>
      <c s="21" r="C147">
        <v>26</v>
      </c>
      <c t="s" s="21" r="D147">
        <v>92</v>
      </c>
      <c t="s" s="42" r="E147">
        <v>50</v>
      </c>
      <c t="s" s="42" r="F147">
        <v>24</v>
      </c>
      <c t="str" s="30" r="G147">
        <f>HYPERLINK("http://sofifa.com/en/14w/p/n/38","Por")</f>
        <v>Por</v>
      </c>
      <c t="str" s="30" r="H147">
        <f>HYPERLINK("http://sofifa.com/en/14w/p/149885-tiago-almeida-ilori","Ilori")</f>
        <v>Ilori</v>
      </c>
      <c s="21" r="I147">
        <v>73</v>
      </c>
      <c t="s" s="21" r="J147">
        <v>75</v>
      </c>
      <c t="s" s="21" r="K147">
        <v>95</v>
      </c>
      <c s="21" r="L147">
        <v>20</v>
      </c>
      <c s="42" r="M147">
        <v>3.3</v>
      </c>
      <c s="42" r="N147">
        <v>0.008</v>
      </c>
      <c s="42" r="O147">
        <v>3.5</v>
      </c>
      <c s="42" r="P147">
        <f>IF((O147&gt;0),N147,0)</f>
        <v>0.008</v>
      </c>
      <c s="42" r="Q147"/>
    </row>
    <row r="148">
      <c t="s" s="42" r="A148">
        <v>23</v>
      </c>
      <c s="42" r="B148">
        <v>147</v>
      </c>
      <c s="21" r="C148">
        <v>33</v>
      </c>
      <c t="s" s="21" r="D148">
        <v>92</v>
      </c>
      <c t="s" s="42" r="E148">
        <v>24</v>
      </c>
      <c t="s" s="42" r="F148">
        <v>24</v>
      </c>
      <c t="str" s="30" r="G148">
        <f>HYPERLINK("http://sofifa.com/en/14w/p/n/14","Eng")</f>
        <v>Eng</v>
      </c>
      <c t="str" s="30" r="H148">
        <f>HYPERLINK("http://sofifa.com/en/14w/p/150900-jordon-ibe","J. Ibe")</f>
        <v>J. Ibe</v>
      </c>
      <c s="21" r="I148">
        <v>62</v>
      </c>
      <c t="s" s="21" r="J148">
        <v>90</v>
      </c>
      <c t="s" s="21" r="K148">
        <v>106</v>
      </c>
      <c s="21" r="L148">
        <v>17</v>
      </c>
      <c s="42" r="M148">
        <v>1</v>
      </c>
      <c s="42" r="N148">
        <v>0.003</v>
      </c>
      <c s="42" r="O148"/>
      <c s="42" r="P148">
        <f>IF((O148&gt;0),N148,0)</f>
        <v>0</v>
      </c>
      <c s="42" r="Q148"/>
    </row>
    <row r="149">
      <c t="s" s="42" r="A149">
        <v>23</v>
      </c>
      <c s="42" r="B149">
        <v>148</v>
      </c>
      <c s="21" r="C149">
        <v>10</v>
      </c>
      <c t="s" s="21" r="D149">
        <v>92</v>
      </c>
      <c t="s" s="42" r="E149">
        <v>24</v>
      </c>
      <c t="s" s="42" r="F149">
        <v>24</v>
      </c>
      <c t="str" s="30" r="G149">
        <f>HYPERLINK("http://sofifa.com/en/14w/p/n/54","Bra")</f>
        <v>Bra</v>
      </c>
      <c t="str" s="30" r="H149">
        <f>HYPERLINK("http://sofifa.com/en/14w/p/149626-philippe-coutinho-correia","Coutinho")</f>
        <v>Coutinho</v>
      </c>
      <c s="21" r="I149">
        <v>80</v>
      </c>
      <c t="s" s="21" r="J149">
        <v>88</v>
      </c>
      <c t="s" s="21" r="K149">
        <v>106</v>
      </c>
      <c s="21" r="L149">
        <v>21</v>
      </c>
      <c s="42" r="M149">
        <v>13.3</v>
      </c>
      <c s="42" r="N149">
        <v>0.026</v>
      </c>
      <c s="42" r="O149"/>
      <c s="42" r="P149">
        <f>IF((O149&gt;0),N149,0)</f>
        <v>0</v>
      </c>
      <c s="42" r="Q149"/>
    </row>
    <row r="150">
      <c t="s" s="42" r="A150">
        <v>23</v>
      </c>
      <c s="42" r="B150">
        <v>149</v>
      </c>
      <c s="21" r="C150">
        <v>24</v>
      </c>
      <c t="s" s="21" r="D150">
        <v>92</v>
      </c>
      <c t="s" s="42" r="E150">
        <v>24</v>
      </c>
      <c t="s" s="42" r="F150">
        <v>24</v>
      </c>
      <c t="str" s="30" r="G150">
        <f>HYPERLINK("http://sofifa.com/en/14w/p/n/50","Wal")</f>
        <v>Wal</v>
      </c>
      <c t="str" s="30" r="H150">
        <f>HYPERLINK("http://sofifa.com/en/14w/p/148805-joe-allen","J. Allen")</f>
        <v>J. Allen</v>
      </c>
      <c s="21" r="I150">
        <v>77</v>
      </c>
      <c t="s" s="21" r="J150">
        <v>81</v>
      </c>
      <c t="s" s="21" r="K150">
        <v>93</v>
      </c>
      <c s="21" r="L150">
        <v>23</v>
      </c>
      <c s="42" r="M150">
        <v>5.9</v>
      </c>
      <c s="42" r="N150">
        <v>0.016</v>
      </c>
      <c s="42" r="O150"/>
      <c s="42" r="P150">
        <f>IF((O150&gt;0),N150,0)</f>
        <v>0</v>
      </c>
      <c s="42" r="Q150"/>
    </row>
    <row r="151">
      <c t="s" s="42" r="A151">
        <v>23</v>
      </c>
      <c s="42" r="B151">
        <v>150</v>
      </c>
      <c s="21" r="C151">
        <v>34</v>
      </c>
      <c t="s" s="21" r="D151">
        <v>92</v>
      </c>
      <c t="s" s="42" r="E151">
        <v>24</v>
      </c>
      <c t="s" s="42" r="F151">
        <v>24</v>
      </c>
      <c t="str" s="30" r="G151">
        <f>HYPERLINK("http://sofifa.com/en/14w/p/n/14","Eng")</f>
        <v>Eng</v>
      </c>
      <c t="str" s="30" r="H151">
        <f>HYPERLINK("http://sofifa.com/en/14w/p/148849-martin-kelly","M. Kelly")</f>
        <v>M. Kelly</v>
      </c>
      <c s="21" r="I151">
        <v>75</v>
      </c>
      <c t="s" s="21" r="J151">
        <v>72</v>
      </c>
      <c t="s" s="21" r="K151">
        <v>95</v>
      </c>
      <c s="21" r="L151">
        <v>23</v>
      </c>
      <c s="42" r="M151">
        <v>4.1</v>
      </c>
      <c s="42" r="N151">
        <v>0.012</v>
      </c>
      <c s="42" r="O151"/>
      <c s="42" r="P151">
        <f>IF((O151&gt;0),N151,0)</f>
        <v>0</v>
      </c>
      <c s="42" r="Q151"/>
    </row>
    <row r="152">
      <c t="s" s="42" r="A152">
        <v>23</v>
      </c>
      <c s="42" r="B152">
        <v>151</v>
      </c>
      <c s="21" r="C152">
        <v>2</v>
      </c>
      <c t="s" s="21" r="D152">
        <v>92</v>
      </c>
      <c t="s" s="42" r="E152">
        <v>24</v>
      </c>
      <c t="s" s="42" r="F152">
        <v>24</v>
      </c>
      <c t="str" s="30" r="G152">
        <f>HYPERLINK("http://sofifa.com/en/14w/p/n/14","Eng")</f>
        <v>Eng</v>
      </c>
      <c t="str" s="30" r="H152">
        <f>HYPERLINK("http://sofifa.com/en/14w/p/146776-glen-johnson","G. Johnson")</f>
        <v>G. Johnson</v>
      </c>
      <c s="21" r="I152">
        <v>79</v>
      </c>
      <c t="s" s="21" r="J152">
        <v>72</v>
      </c>
      <c t="s" s="21" r="K152">
        <v>89</v>
      </c>
      <c s="21" r="L152">
        <v>28</v>
      </c>
      <c s="42" r="M152">
        <v>6.4</v>
      </c>
      <c s="42" r="N152">
        <v>0.023</v>
      </c>
      <c s="42" r="O152"/>
      <c s="42" r="P152">
        <f>IF((O152&gt;0),N152,0)</f>
        <v>0</v>
      </c>
      <c s="42" r="Q152"/>
    </row>
    <row r="153">
      <c t="s" s="42" r="A153">
        <v>23</v>
      </c>
      <c s="42" r="B153">
        <v>152</v>
      </c>
      <c s="21" r="C153">
        <v>1</v>
      </c>
      <c t="s" s="21" r="D153">
        <v>92</v>
      </c>
      <c t="s" s="42" r="E153">
        <v>24</v>
      </c>
      <c t="s" s="42" r="F153">
        <v>24</v>
      </c>
      <c t="str" s="30" r="G153">
        <f>HYPERLINK("http://sofifa.com/en/14w/p/n/195","Aus")</f>
        <v>Aus</v>
      </c>
      <c t="str" s="30" r="H153">
        <f>HYPERLINK("http://sofifa.com/en/14w/p/145888-brad-jones","B. Jones")</f>
        <v>B. Jones</v>
      </c>
      <c s="21" r="I153">
        <v>71</v>
      </c>
      <c t="s" s="21" r="J153">
        <v>70</v>
      </c>
      <c t="s" s="21" r="K153">
        <v>95</v>
      </c>
      <c s="21" r="L153">
        <v>31</v>
      </c>
      <c s="42" r="M153">
        <v>1.5</v>
      </c>
      <c s="42" r="N153">
        <v>0.009</v>
      </c>
      <c s="42" r="O153"/>
      <c s="42" r="P153">
        <f>IF((O153&gt;0),N153,0)</f>
        <v>0</v>
      </c>
      <c s="42" r="Q153"/>
    </row>
    <row r="154">
      <c t="s" s="42" r="A154">
        <v>23</v>
      </c>
      <c s="42" r="B154">
        <v>153</v>
      </c>
      <c s="21" r="C154">
        <v>5</v>
      </c>
      <c t="s" s="21" r="D154">
        <v>92</v>
      </c>
      <c t="s" s="42" r="E154">
        <v>24</v>
      </c>
      <c t="s" s="42" r="F154">
        <v>24</v>
      </c>
      <c t="str" s="30" r="G154">
        <f>HYPERLINK("http://sofifa.com/en/14w/p/n/13","Den")</f>
        <v>Den</v>
      </c>
      <c t="str" s="30" r="H154">
        <f>HYPERLINK("http://sofifa.com/en/14w/p/146887-daniel-agger","D. Agger")</f>
        <v>D. Agger</v>
      </c>
      <c s="21" r="I154">
        <v>82</v>
      </c>
      <c t="s" s="21" r="J154">
        <v>75</v>
      </c>
      <c t="s" s="21" r="K154">
        <v>95</v>
      </c>
      <c s="21" r="L154">
        <v>28</v>
      </c>
      <c s="42" r="M154">
        <v>13.3</v>
      </c>
      <c s="42" r="N154">
        <v>0.055</v>
      </c>
      <c s="42" r="O154"/>
      <c s="42" r="P154">
        <f>IF((O154&gt;0),N154,0)</f>
        <v>0</v>
      </c>
      <c s="42" r="Q154"/>
    </row>
    <row r="155">
      <c t="s" s="42" r="A155">
        <v>23</v>
      </c>
      <c s="42" r="B155">
        <v>154</v>
      </c>
      <c s="21" r="C155">
        <v>21</v>
      </c>
      <c t="s" s="21" r="D155">
        <v>92</v>
      </c>
      <c t="s" s="42" r="E155">
        <v>24</v>
      </c>
      <c t="s" s="42" r="F155">
        <v>24</v>
      </c>
      <c t="str" s="30" r="G155">
        <f>HYPERLINK("http://sofifa.com/en/14w/p/n/54","Bra")</f>
        <v>Bra</v>
      </c>
      <c t="str" s="30" r="H155">
        <f>HYPERLINK("http://sofifa.com/en/14w/p/147645-lucas-pezzini-leiva","Lucas Leiva")</f>
        <v>Lucas Leiva</v>
      </c>
      <c s="21" r="I155">
        <v>81</v>
      </c>
      <c t="s" s="21" r="J155">
        <v>98</v>
      </c>
      <c t="s" s="21" r="K155">
        <v>82</v>
      </c>
      <c s="21" r="L155">
        <v>26</v>
      </c>
      <c s="42" r="M155">
        <v>10.7</v>
      </c>
      <c s="42" r="N155">
        <v>0.04</v>
      </c>
      <c s="42" r="O155"/>
      <c s="42" r="P155">
        <f>IF((O155&gt;0),N155,0)</f>
        <v>0</v>
      </c>
      <c s="42" r="Q155"/>
    </row>
    <row r="156">
      <c t="s" s="42" r="A156">
        <v>23</v>
      </c>
      <c s="42" r="B156">
        <v>155</v>
      </c>
      <c s="21" r="C156">
        <v>20</v>
      </c>
      <c t="s" s="21" r="D156">
        <v>92</v>
      </c>
      <c t="s" s="42" r="E156">
        <v>24</v>
      </c>
      <c t="s" s="42" r="F156">
        <v>24</v>
      </c>
      <c t="str" s="30" r="G156">
        <f>HYPERLINK("http://sofifa.com/en/14w/p/n/18","Fra")</f>
        <v>Fra</v>
      </c>
      <c t="str" s="30" r="H156">
        <f>HYPERLINK("http://sofifa.com/en/14w/p/147894-aly-cissokho","A. Cissokho")</f>
        <v>A. Cissokho</v>
      </c>
      <c s="21" r="I156">
        <v>75</v>
      </c>
      <c t="s" s="21" r="J156">
        <v>78</v>
      </c>
      <c t="s" s="21" r="K156">
        <v>79</v>
      </c>
      <c s="21" r="L156">
        <v>25</v>
      </c>
      <c s="42" r="M156">
        <v>3.9</v>
      </c>
      <c s="42" r="N156">
        <v>0.013</v>
      </c>
      <c s="42" r="O156"/>
      <c s="42" r="P156">
        <f>IF((O156&gt;0),N156,0)</f>
        <v>0</v>
      </c>
      <c s="42" r="Q156"/>
    </row>
    <row r="157">
      <c t="s" s="42" r="A157">
        <v>23</v>
      </c>
      <c s="42" r="B157">
        <v>156</v>
      </c>
      <c s="21" r="C157">
        <v>67</v>
      </c>
      <c t="s" s="21" r="D157">
        <v>97</v>
      </c>
      <c t="s" s="42" r="E157">
        <v>24</v>
      </c>
      <c t="s" s="42" r="F157">
        <v>24</v>
      </c>
      <c t="str" s="30" r="G157">
        <f>HYPERLINK("http://sofifa.com/en/14w/p/n/95","Uni")</f>
        <v>Uni</v>
      </c>
      <c t="str" s="30" r="H157">
        <f>HYPERLINK("http://sofifa.com/en/14w/p/150361-marc-pelosi","M. Pelosi")</f>
        <v>M. Pelosi</v>
      </c>
      <c s="21" r="I157">
        <v>56</v>
      </c>
      <c t="s" s="21" r="J157">
        <v>87</v>
      </c>
      <c t="s" s="21" r="K157">
        <v>89</v>
      </c>
      <c s="21" r="L157">
        <v>19</v>
      </c>
      <c s="42" r="M157">
        <v>0.1</v>
      </c>
      <c s="42" r="N157">
        <v>0.002</v>
      </c>
      <c s="42" r="O157"/>
      <c s="42" r="P157">
        <f>IF((O157&gt;0),N157,0)</f>
        <v>0</v>
      </c>
      <c s="42" r="Q157"/>
    </row>
    <row r="158">
      <c t="s" s="42" r="A158">
        <v>23</v>
      </c>
      <c s="42" r="B158">
        <v>157</v>
      </c>
      <c s="21" r="C158">
        <v>52</v>
      </c>
      <c t="s" s="21" r="D158">
        <v>97</v>
      </c>
      <c t="s" s="42" r="E158">
        <v>24</v>
      </c>
      <c t="s" s="42" r="F158">
        <v>24</v>
      </c>
      <c t="str" s="30" r="G158">
        <f>HYPERLINK("http://sofifa.com/en/14w/p/n/50","Wal")</f>
        <v>Wal</v>
      </c>
      <c t="str" s="30" r="H158">
        <f>HYPERLINK("http://sofifa.com/en/14w/p/150001-danny-ward","D. Ward")</f>
        <v>D. Ward</v>
      </c>
      <c s="21" r="I158">
        <v>57</v>
      </c>
      <c t="s" s="21" r="J158">
        <v>70</v>
      </c>
      <c t="s" s="21" r="K158">
        <v>99</v>
      </c>
      <c s="21" r="L158">
        <v>20</v>
      </c>
      <c s="42" r="M158">
        <v>0.2</v>
      </c>
      <c s="42" r="N158">
        <v>0.002</v>
      </c>
      <c s="42" r="O158"/>
      <c s="42" r="P158">
        <f>IF((O158&gt;0),N158,0)</f>
        <v>0</v>
      </c>
      <c s="42" r="Q158"/>
    </row>
    <row r="159">
      <c t="s" s="42" r="A159">
        <v>23</v>
      </c>
      <c s="42" r="B159">
        <v>158</v>
      </c>
      <c s="21" r="C159">
        <v>50</v>
      </c>
      <c t="s" s="21" r="D159">
        <v>97</v>
      </c>
      <c t="s" s="42" r="E159">
        <v>24</v>
      </c>
      <c t="s" s="42" r="F159">
        <v>24</v>
      </c>
      <c t="str" s="30" r="G159">
        <f>HYPERLINK("http://sofifa.com/en/14w/p/n/14","Eng")</f>
        <v>Eng</v>
      </c>
      <c t="str" s="30" r="H159">
        <f>HYPERLINK("http://sofifa.com/en/14w/p/150304-adam-morgan","A. Morgan")</f>
        <v>A. Morgan</v>
      </c>
      <c s="21" r="I159">
        <v>63</v>
      </c>
      <c t="s" s="21" r="J159">
        <v>90</v>
      </c>
      <c t="s" s="21" r="K159">
        <v>82</v>
      </c>
      <c s="21" r="L159">
        <v>19</v>
      </c>
      <c s="42" r="M159">
        <v>1.1</v>
      </c>
      <c s="42" r="N159">
        <v>0.003</v>
      </c>
      <c s="42" r="O159"/>
      <c s="42" r="P159">
        <f>IF((O159&gt;0),N159,0)</f>
        <v>0</v>
      </c>
      <c s="42" r="Q159"/>
    </row>
    <row r="160">
      <c t="s" s="42" r="A160">
        <v>23</v>
      </c>
      <c s="42" r="B160">
        <v>159</v>
      </c>
      <c s="21" r="C160">
        <v>61</v>
      </c>
      <c t="s" s="21" r="D160">
        <v>97</v>
      </c>
      <c t="s" s="42" r="E160">
        <v>24</v>
      </c>
      <c t="s" s="42" r="F160">
        <v>24</v>
      </c>
      <c t="str" s="30" r="G160">
        <f>HYPERLINK("http://sofifa.com/en/14w/p/n/95","Uni")</f>
        <v>Uni</v>
      </c>
      <c t="str" s="30" r="H160">
        <f>HYPERLINK("http://sofifa.com/en/14w/p/149831-villyan-bijev","V. Bijev")</f>
        <v>V. Bijev</v>
      </c>
      <c s="21" r="I160">
        <v>56</v>
      </c>
      <c t="s" s="21" r="J160">
        <v>90</v>
      </c>
      <c t="s" s="21" r="K160">
        <v>89</v>
      </c>
      <c s="21" r="L160">
        <v>20</v>
      </c>
      <c s="42" r="M160">
        <v>0.1</v>
      </c>
      <c s="42" r="N160">
        <v>0.002</v>
      </c>
      <c s="42" r="O160"/>
      <c s="42" r="P160">
        <f>IF((O160&gt;0),N160,0)</f>
        <v>0</v>
      </c>
      <c s="42" r="Q160"/>
    </row>
    <row r="161">
      <c t="s" s="42" r="A161">
        <v>23</v>
      </c>
      <c s="42" r="B161">
        <v>160</v>
      </c>
      <c s="21" r="C161">
        <v>36</v>
      </c>
      <c t="s" s="21" r="D161">
        <v>97</v>
      </c>
      <c t="s" s="42" r="E161">
        <v>24</v>
      </c>
      <c t="s" s="42" r="F161">
        <v>24</v>
      </c>
      <c t="str" s="30" r="G161">
        <f>HYPERLINK("http://sofifa.com/en/14w/p/n/21","Ger")</f>
        <v>Ger</v>
      </c>
      <c t="str" s="30" r="H161">
        <f>HYPERLINK("http://sofifa.com/en/14w/p/150338-samed-yesil","S. Yesil")</f>
        <v>S. Yesil</v>
      </c>
      <c s="21" r="I161">
        <v>64</v>
      </c>
      <c t="s" s="21" r="J161">
        <v>90</v>
      </c>
      <c t="s" s="21" r="K161">
        <v>79</v>
      </c>
      <c s="21" r="L161">
        <v>19</v>
      </c>
      <c s="42" r="M161">
        <v>1.2</v>
      </c>
      <c s="42" r="N161">
        <v>0.004</v>
      </c>
      <c s="42" r="O161"/>
      <c s="42" r="P161">
        <f>IF((O161&gt;0),N161,0)</f>
        <v>0</v>
      </c>
      <c s="42" r="Q161"/>
    </row>
    <row r="162">
      <c t="s" s="42" r="A162">
        <v>23</v>
      </c>
      <c s="42" r="B162">
        <v>161</v>
      </c>
      <c s="21" r="C162">
        <v>45</v>
      </c>
      <c t="s" s="21" r="D162">
        <v>97</v>
      </c>
      <c t="s" s="42" r="E162">
        <v>24</v>
      </c>
      <c t="s" s="42" r="F162">
        <v>24</v>
      </c>
      <c t="str" s="30" r="G162">
        <f>HYPERLINK("http://sofifa.com/en/14w/p/n/21","Ger")</f>
        <v>Ger</v>
      </c>
      <c t="str" s="30" r="H162">
        <f>HYPERLINK("http://sofifa.com/en/14w/p/149892-stephen-sama","S. Sama")</f>
        <v>S. Sama</v>
      </c>
      <c s="21" r="I162">
        <v>62</v>
      </c>
      <c t="s" s="21" r="J162">
        <v>75</v>
      </c>
      <c t="s" s="21" r="K162">
        <v>99</v>
      </c>
      <c s="21" r="L162">
        <v>20</v>
      </c>
      <c s="42" r="M162">
        <v>0.7</v>
      </c>
      <c s="42" r="N162">
        <v>0.003</v>
      </c>
      <c s="42" r="O162"/>
      <c s="42" r="P162">
        <f>IF((O162&gt;0),N162,0)</f>
        <v>0</v>
      </c>
      <c s="42" r="Q162"/>
    </row>
    <row r="163">
      <c t="s" s="42" r="A163">
        <v>23</v>
      </c>
      <c s="42" r="B163">
        <v>162</v>
      </c>
      <c s="21" r="C163">
        <v>38</v>
      </c>
      <c t="s" s="21" r="D163">
        <v>97</v>
      </c>
      <c t="s" s="42" r="E163">
        <v>24</v>
      </c>
      <c t="s" s="42" r="F163">
        <v>24</v>
      </c>
      <c t="str" s="30" r="G163">
        <f>HYPERLINK("http://sofifa.com/en/14w/p/n/14","Eng")</f>
        <v>Eng</v>
      </c>
      <c t="str" s="30" r="H163">
        <f>HYPERLINK("http://sofifa.com/en/14w/p/149829-jon-flanagan","J. Flanagan")</f>
        <v>J. Flanagan</v>
      </c>
      <c s="21" r="I163">
        <v>63</v>
      </c>
      <c t="s" s="21" r="J163">
        <v>72</v>
      </c>
      <c t="s" s="21" r="K163">
        <v>79</v>
      </c>
      <c s="21" r="L163">
        <v>20</v>
      </c>
      <c s="42" r="M163">
        <v>0.8</v>
      </c>
      <c s="42" r="N163">
        <v>0.003</v>
      </c>
      <c s="42" r="O163"/>
      <c s="42" r="P163">
        <f>IF((O163&gt;0),N163,0)</f>
        <v>0</v>
      </c>
      <c s="42" r="Q163"/>
    </row>
    <row r="164">
      <c t="s" s="42" r="A164">
        <v>23</v>
      </c>
      <c s="42" r="B164">
        <v>163</v>
      </c>
      <c s="21" r="C164">
        <v>6</v>
      </c>
      <c t="s" s="21" r="D164">
        <v>97</v>
      </c>
      <c t="s" s="42" r="E164">
        <v>24</v>
      </c>
      <c t="s" s="42" r="F164">
        <v>24</v>
      </c>
      <c t="str" s="30" r="G164">
        <f>HYPERLINK("http://sofifa.com/en/14w/p/n/45","Spa")</f>
        <v>Spa</v>
      </c>
      <c t="str" s="30" r="H164">
        <f>HYPERLINK("http://sofifa.com/en/14w/p/149734-luis-alberto-romero-alconchel","Luis Alberto")</f>
        <v>Luis Alberto</v>
      </c>
      <c s="21" r="I164">
        <v>72</v>
      </c>
      <c t="s" s="21" r="J164">
        <v>108</v>
      </c>
      <c t="s" s="21" r="K164">
        <v>89</v>
      </c>
      <c s="21" r="L164">
        <v>20</v>
      </c>
      <c s="42" r="M164">
        <v>3.5</v>
      </c>
      <c s="42" r="N164">
        <v>0.007</v>
      </c>
      <c s="42" r="O164"/>
      <c s="42" r="P164">
        <f>IF((O164&gt;0),N164,0)</f>
        <v>0</v>
      </c>
      <c s="42" r="Q164"/>
    </row>
    <row r="165">
      <c t="s" s="42" r="A165">
        <v>23</v>
      </c>
      <c s="42" r="B165">
        <v>164</v>
      </c>
      <c s="21" r="C165">
        <v>16</v>
      </c>
      <c t="s" s="21" r="D165">
        <v>97</v>
      </c>
      <c t="s" s="42" r="E165">
        <v>50</v>
      </c>
      <c t="s" s="42" r="F165">
        <v>24</v>
      </c>
      <c t="str" s="30" r="G165">
        <f>HYPERLINK("http://sofifa.com/en/14w/p/n/60","Uru")</f>
        <v>Uru</v>
      </c>
      <c t="str" s="30" r="H165">
        <f>HYPERLINK("http://sofifa.com/en/14w/p/149012-sebastian-coates","S. Coates")</f>
        <v>S. Coates</v>
      </c>
      <c s="21" r="I165">
        <v>71</v>
      </c>
      <c t="s" s="21" r="J165">
        <v>75</v>
      </c>
      <c t="s" s="21" r="K165">
        <v>71</v>
      </c>
      <c s="21" r="L165">
        <v>22</v>
      </c>
      <c s="42" r="M165">
        <v>2.3</v>
      </c>
      <c s="42" r="N165">
        <v>0.007</v>
      </c>
      <c s="42" r="O165">
        <v>2.5</v>
      </c>
      <c s="42" r="P165">
        <f>IF((O165&gt;0),N165,0)</f>
        <v>0.007</v>
      </c>
      <c s="42" r="Q165"/>
    </row>
    <row r="166">
      <c t="s" s="42" r="A166">
        <v>23</v>
      </c>
      <c s="42" r="B166">
        <v>165</v>
      </c>
      <c s="21" r="C166">
        <v>60</v>
      </c>
      <c t="s" s="21" r="D166">
        <v>97</v>
      </c>
      <c t="s" s="42" r="E166">
        <v>24</v>
      </c>
      <c t="s" s="42" r="F166">
        <v>24</v>
      </c>
      <c t="str" s="30" r="G166">
        <f>HYPERLINK("http://sofifa.com/en/14w/p/n/119","Gui")</f>
        <v>Gui</v>
      </c>
      <c t="str" s="30" r="H166">
        <f>HYPERLINK("http://sofifa.com/en/14w/p/150476-yalany-baio","Y. Baio")</f>
        <v>Y. Baio</v>
      </c>
      <c s="21" r="I166">
        <v>58</v>
      </c>
      <c t="s" s="21" r="J166">
        <v>98</v>
      </c>
      <c t="s" s="21" r="K166">
        <v>94</v>
      </c>
      <c s="21" r="L166">
        <v>18</v>
      </c>
      <c s="42" r="M166">
        <v>0.3</v>
      </c>
      <c s="42" r="N166">
        <v>0.002</v>
      </c>
      <c s="8" r="O166"/>
      <c s="42" r="P166">
        <f>IF((O166&gt;0),N166,0)</f>
        <v>0</v>
      </c>
      <c s="42" r="Q166"/>
    </row>
    <row r="167">
      <c t="s" s="42" r="A167">
        <v>17</v>
      </c>
      <c s="42" r="B167">
        <v>166</v>
      </c>
      <c s="21" r="C167">
        <v>1</v>
      </c>
      <c t="s" s="21" r="D167">
        <v>70</v>
      </c>
      <c t="s" s="42" r="E167">
        <v>18</v>
      </c>
      <c t="s" s="42" r="F167">
        <v>18</v>
      </c>
      <c t="str" s="30" r="G167">
        <f>HYPERLINK("http://sofifa.com/en/14w/p/n/14","Eng")</f>
        <v>Eng</v>
      </c>
      <c t="str" s="30" r="H167">
        <f>HYPERLINK("http://sofifa.com/en/14w/p/147745-joe-hart","J. Hart")</f>
        <v>J. Hart</v>
      </c>
      <c s="21" r="I167">
        <v>82</v>
      </c>
      <c t="s" s="21" r="J167">
        <v>70</v>
      </c>
      <c t="s" s="21" r="K167">
        <v>71</v>
      </c>
      <c s="21" r="L167">
        <v>26</v>
      </c>
      <c s="42" r="M167">
        <v>11.1</v>
      </c>
      <c s="42" r="N167">
        <v>0.053</v>
      </c>
      <c s="42" r="O167"/>
      <c s="42" r="P167">
        <f>IF((O167&gt;0),N167,0)</f>
        <v>0</v>
      </c>
      <c s="42" r="Q167"/>
    </row>
    <row r="168">
      <c t="s" s="42" r="A168">
        <v>17</v>
      </c>
      <c s="42" r="B168">
        <v>167</v>
      </c>
      <c s="21" r="C168">
        <v>5</v>
      </c>
      <c t="s" s="21" r="D168">
        <v>72</v>
      </c>
      <c t="s" s="42" r="E168">
        <v>18</v>
      </c>
      <c t="s" s="42" r="F168">
        <v>18</v>
      </c>
      <c t="str" s="30" r="G168">
        <f>HYPERLINK("http://sofifa.com/en/14w/p/n/52","Arg")</f>
        <v>Arg</v>
      </c>
      <c t="str" s="30" r="H168">
        <f>HYPERLINK("http://sofifa.com/en/14w/p/146922-pablo-zabaleta","P. Zabaleta")</f>
        <v>P. Zabaleta</v>
      </c>
      <c s="21" r="I168">
        <v>82</v>
      </c>
      <c t="s" s="21" r="J168">
        <v>72</v>
      </c>
      <c t="s" s="21" r="K168">
        <v>82</v>
      </c>
      <c s="21" r="L168">
        <v>28</v>
      </c>
      <c s="42" r="M168">
        <v>12</v>
      </c>
      <c s="42" r="N168">
        <v>0.055</v>
      </c>
      <c s="42" r="O168"/>
      <c s="42" r="P168">
        <f>IF((O168&gt;0),N168,0)</f>
        <v>0</v>
      </c>
      <c s="42" r="Q168"/>
    </row>
    <row r="169">
      <c t="s" s="42" r="A169">
        <v>17</v>
      </c>
      <c s="42" r="B169">
        <v>168</v>
      </c>
      <c s="21" r="C169">
        <v>4</v>
      </c>
      <c t="s" s="21" r="D169">
        <v>74</v>
      </c>
      <c t="s" s="42" r="E169">
        <v>18</v>
      </c>
      <c t="s" s="42" r="F169">
        <v>18</v>
      </c>
      <c t="str" s="30" r="G169">
        <f>HYPERLINK("http://sofifa.com/en/14w/p/n/7","Bel")</f>
        <v>Bel</v>
      </c>
      <c t="str" s="30" r="H169">
        <f>HYPERLINK("http://sofifa.com/en/14w/p/147371-vincent-kompany","V. Kompany")</f>
        <v>V. Kompany</v>
      </c>
      <c s="21" r="I169">
        <v>86</v>
      </c>
      <c t="s" s="21" r="J169">
        <v>75</v>
      </c>
      <c t="s" s="21" r="K169">
        <v>91</v>
      </c>
      <c s="21" r="L169">
        <v>27</v>
      </c>
      <c s="42" r="M169">
        <v>27.2</v>
      </c>
      <c s="42" r="N169">
        <v>0.135</v>
      </c>
      <c s="42" r="O169"/>
      <c s="42" r="P169">
        <f>IF((O169&gt;0),N169,0)</f>
        <v>0</v>
      </c>
      <c s="42" r="Q169"/>
    </row>
    <row r="170">
      <c t="s" s="42" r="A170">
        <v>17</v>
      </c>
      <c s="42" r="B170">
        <v>169</v>
      </c>
      <c s="21" r="C170">
        <v>33</v>
      </c>
      <c t="s" s="21" r="D170">
        <v>77</v>
      </c>
      <c t="s" s="42" r="E170">
        <v>18</v>
      </c>
      <c t="s" s="42" r="F170">
        <v>18</v>
      </c>
      <c t="str" s="30" r="G170">
        <f>HYPERLINK("http://sofifa.com/en/14w/p/n/51","Ser")</f>
        <v>Ser</v>
      </c>
      <c t="str" s="30" r="H170">
        <f>HYPERLINK("http://sofifa.com/en/14w/p/149915-matija-nastasic","M. Nastasić")</f>
        <v>M. Nastasić</v>
      </c>
      <c s="21" r="I170">
        <v>77</v>
      </c>
      <c t="s" s="21" r="J170">
        <v>75</v>
      </c>
      <c t="s" s="21" r="K170">
        <v>99</v>
      </c>
      <c s="21" r="L170">
        <v>20</v>
      </c>
      <c s="42" r="M170">
        <v>6.3</v>
      </c>
      <c s="42" r="N170">
        <v>0.014</v>
      </c>
      <c s="42" r="O170"/>
      <c s="42" r="P170">
        <f>IF((O170&gt;0),N170,0)</f>
        <v>0</v>
      </c>
      <c s="42" r="Q170"/>
    </row>
    <row r="171">
      <c t="s" s="42" r="A171">
        <v>17</v>
      </c>
      <c s="42" r="B171">
        <v>170</v>
      </c>
      <c s="21" r="C171">
        <v>13</v>
      </c>
      <c t="s" s="21" r="D171">
        <v>78</v>
      </c>
      <c t="s" s="42" r="E171">
        <v>18</v>
      </c>
      <c t="s" s="42" r="F171">
        <v>18</v>
      </c>
      <c t="str" s="30" r="G171">
        <f>HYPERLINK("http://sofifa.com/en/14w/p/n/51","Ser")</f>
        <v>Ser</v>
      </c>
      <c t="str" s="30" r="H171">
        <f>HYPERLINK("http://sofifa.com/en/14w/p/147220-aleksandar-kolarov","A. Kolarov")</f>
        <v>A. Kolarov</v>
      </c>
      <c s="21" r="I171">
        <v>78</v>
      </c>
      <c t="s" s="21" r="J171">
        <v>78</v>
      </c>
      <c t="s" s="21" r="K171">
        <v>99</v>
      </c>
      <c s="21" r="L171">
        <v>27</v>
      </c>
      <c s="42" r="M171">
        <v>6.2</v>
      </c>
      <c s="42" r="N171">
        <v>0.019</v>
      </c>
      <c s="42" r="O171"/>
      <c s="42" r="P171">
        <f>IF((O171&gt;0),N171,0)</f>
        <v>0</v>
      </c>
      <c s="42" r="Q171"/>
    </row>
    <row r="172">
      <c t="s" s="42" r="A172">
        <v>17</v>
      </c>
      <c s="42" r="B172">
        <v>171</v>
      </c>
      <c s="21" r="C172">
        <v>15</v>
      </c>
      <c t="s" s="21" r="D172">
        <v>84</v>
      </c>
      <c t="s" s="42" r="E172">
        <v>18</v>
      </c>
      <c t="s" s="42" r="F172">
        <v>18</v>
      </c>
      <c t="str" s="30" r="G172">
        <f>HYPERLINK("http://sofifa.com/en/14w/p/n/45","Spa")</f>
        <v>Spa</v>
      </c>
      <c t="str" s="30" r="H172">
        <f>HYPERLINK("http://sofifa.com/en/14w/p/147231-jesus-navas-gonzalez","Jesús Navas")</f>
        <v>Jesús Navas</v>
      </c>
      <c s="21" r="I172">
        <v>84</v>
      </c>
      <c t="s" s="21" r="J172">
        <v>84</v>
      </c>
      <c t="s" s="21" r="K172">
        <v>106</v>
      </c>
      <c s="21" r="L172">
        <v>27</v>
      </c>
      <c s="42" r="M172">
        <v>20.7</v>
      </c>
      <c s="42" r="N172">
        <v>0.083</v>
      </c>
      <c s="42" r="O172"/>
      <c s="42" r="P172">
        <f>IF((O172&gt;0),N172,0)</f>
        <v>0</v>
      </c>
      <c s="42" r="Q172"/>
    </row>
    <row r="173">
      <c t="s" s="42" r="A173">
        <v>17</v>
      </c>
      <c s="42" r="B173">
        <v>172</v>
      </c>
      <c s="21" r="C173">
        <v>42</v>
      </c>
      <c t="s" s="21" r="D173">
        <v>102</v>
      </c>
      <c t="s" s="42" r="E173">
        <v>18</v>
      </c>
      <c t="s" s="42" r="F173">
        <v>18</v>
      </c>
      <c t="str" s="30" r="G173">
        <f>HYPERLINK("http://sofifa.com/en/14w/p/n/108","Ivo")</f>
        <v>Ivo</v>
      </c>
      <c t="str" s="30" r="H173">
        <f>HYPERLINK("http://sofifa.com/en/14w/p/146308-yaya-toure","Y. Touré")</f>
        <v>Y. Touré</v>
      </c>
      <c s="21" r="I173">
        <v>86</v>
      </c>
      <c t="s" s="21" r="J173">
        <v>98</v>
      </c>
      <c t="s" s="21" r="K173">
        <v>99</v>
      </c>
      <c s="21" r="L173">
        <v>30</v>
      </c>
      <c s="42" r="M173">
        <v>20.4</v>
      </c>
      <c s="42" r="N173">
        <v>0.151</v>
      </c>
      <c s="42" r="O173"/>
      <c s="42" r="P173">
        <f>IF((O173&gt;0),N173,0)</f>
        <v>0</v>
      </c>
      <c s="42" r="Q173"/>
    </row>
    <row r="174">
      <c t="s" s="42" r="A174">
        <v>17</v>
      </c>
      <c s="42" r="B174">
        <v>173</v>
      </c>
      <c s="21" r="C174">
        <v>25</v>
      </c>
      <c t="s" s="21" r="D174">
        <v>103</v>
      </c>
      <c t="s" s="42" r="E174">
        <v>18</v>
      </c>
      <c t="s" s="42" r="F174">
        <v>18</v>
      </c>
      <c t="str" s="30" r="G174">
        <f>HYPERLINK("http://sofifa.com/en/14w/p/n/54","Bra")</f>
        <v>Bra</v>
      </c>
      <c t="str" s="30" r="H174">
        <f>HYPERLINK("http://sofifa.com/en/14w/p/147030-fernando-luiz-rosa","Fernandinho")</f>
        <v>Fernandinho</v>
      </c>
      <c s="21" r="I174">
        <v>81</v>
      </c>
      <c t="s" s="21" r="J174">
        <v>81</v>
      </c>
      <c t="s" s="21" r="K174">
        <v>94</v>
      </c>
      <c s="21" r="L174">
        <v>28</v>
      </c>
      <c s="42" r="M174">
        <v>10.8</v>
      </c>
      <c s="42" r="N174">
        <v>0.042</v>
      </c>
      <c s="42" r="O174"/>
      <c s="42" r="P174">
        <f>IF((O174&gt;0),N174,0)</f>
        <v>0</v>
      </c>
      <c s="42" r="Q174"/>
    </row>
    <row r="175">
      <c t="s" s="42" r="A175">
        <v>17</v>
      </c>
      <c s="42" r="B175">
        <v>174</v>
      </c>
      <c s="21" r="C175">
        <v>21</v>
      </c>
      <c t="s" s="21" r="D175">
        <v>87</v>
      </c>
      <c t="s" s="42" r="E175">
        <v>18</v>
      </c>
      <c t="s" s="42" r="F175">
        <v>18</v>
      </c>
      <c t="str" s="30" r="G175">
        <f>HYPERLINK("http://sofifa.com/en/14w/p/n/45","Spa")</f>
        <v>Spa</v>
      </c>
      <c t="str" s="30" r="H175">
        <f>HYPERLINK("http://sofifa.com/en/14w/p/147279-david-josue-jimenez-silva","David Silva")</f>
        <v>David Silva</v>
      </c>
      <c s="21" r="I175">
        <v>88</v>
      </c>
      <c t="s" s="21" r="J175">
        <v>88</v>
      </c>
      <c t="s" s="21" r="K175">
        <v>106</v>
      </c>
      <c s="21" r="L175">
        <v>27</v>
      </c>
      <c s="42" r="M175">
        <v>43.5</v>
      </c>
      <c s="42" r="N175">
        <v>0.2</v>
      </c>
      <c s="42" r="O175"/>
      <c s="42" r="P175">
        <f>IF((O175&gt;0),N175,0)</f>
        <v>0</v>
      </c>
      <c s="42" r="Q175"/>
    </row>
    <row r="176">
      <c t="s" s="42" r="A176">
        <v>17</v>
      </c>
      <c s="42" r="B176">
        <v>175</v>
      </c>
      <c s="21" r="C176">
        <v>9</v>
      </c>
      <c t="s" s="21" r="D176">
        <v>104</v>
      </c>
      <c t="s" s="42" r="E176">
        <v>32</v>
      </c>
      <c t="s" s="42" r="F176">
        <v>18</v>
      </c>
      <c t="str" s="30" r="G176">
        <f>HYPERLINK("http://sofifa.com/en/14w/p/n/45","Spa")</f>
        <v>Spa</v>
      </c>
      <c t="str" s="30" r="H176">
        <f>HYPERLINK("http://sofifa.com/en/14w/p/147138-alvaro-negredo-sanchez","Negredo")</f>
        <v>Negredo</v>
      </c>
      <c s="21" r="I176">
        <v>83</v>
      </c>
      <c t="s" s="21" r="J176">
        <v>90</v>
      </c>
      <c t="s" s="21" r="K176">
        <v>73</v>
      </c>
      <c s="21" r="L176">
        <v>27</v>
      </c>
      <c s="42" r="M176">
        <v>17.9</v>
      </c>
      <c s="42" r="N176">
        <v>0.068</v>
      </c>
      <c s="42" r="O176">
        <v>19.7</v>
      </c>
      <c s="42" r="P176">
        <f>IF((O176&gt;0),N176,0)</f>
        <v>0.068</v>
      </c>
      <c s="42" r="Q176"/>
    </row>
    <row r="177">
      <c t="s" s="42" r="A177">
        <v>17</v>
      </c>
      <c s="42" r="B177">
        <v>176</v>
      </c>
      <c s="21" r="C177">
        <v>16</v>
      </c>
      <c t="s" s="21" r="D177">
        <v>105</v>
      </c>
      <c t="s" s="42" r="E177">
        <v>18</v>
      </c>
      <c t="s" s="42" r="F177">
        <v>18</v>
      </c>
      <c t="str" s="30" r="G177">
        <f>HYPERLINK("http://sofifa.com/en/14w/p/n/52","Arg")</f>
        <v>Arg</v>
      </c>
      <c t="str" s="30" r="H177">
        <f>HYPERLINK("http://sofifa.com/en/14w/p/148155-sergio-aguero","S. Agüero")</f>
        <v>S. Agüero</v>
      </c>
      <c s="21" r="I177">
        <v>87</v>
      </c>
      <c t="s" s="21" r="J177">
        <v>90</v>
      </c>
      <c t="s" s="21" r="K177">
        <v>94</v>
      </c>
      <c s="21" r="L177">
        <v>25</v>
      </c>
      <c s="42" r="M177">
        <v>38.4</v>
      </c>
      <c s="42" r="N177">
        <v>0.17</v>
      </c>
      <c s="42" r="O177"/>
      <c s="42" r="P177">
        <f>IF((O177&gt;0),N177,0)</f>
        <v>0</v>
      </c>
      <c s="42" r="Q177"/>
    </row>
    <row r="178">
      <c t="s" s="42" r="A178">
        <v>17</v>
      </c>
      <c s="42" r="B178">
        <v>177</v>
      </c>
      <c s="21" r="C178">
        <v>30</v>
      </c>
      <c t="s" s="21" r="D178">
        <v>92</v>
      </c>
      <c t="s" s="42" r="E178">
        <v>18</v>
      </c>
      <c t="s" s="42" r="F178">
        <v>18</v>
      </c>
      <c t="str" s="30" r="G178">
        <f>HYPERLINK("http://sofifa.com/en/14w/p/n/39","Rom")</f>
        <v>Rom</v>
      </c>
      <c t="str" s="30" r="H178">
        <f>HYPERLINK("http://sofifa.com/en/14w/p/147668-costel-pantilimon","C. Pantilimon")</f>
        <v>C. Pantilimon</v>
      </c>
      <c s="21" r="I178">
        <v>74</v>
      </c>
      <c t="s" s="21" r="J178">
        <v>70</v>
      </c>
      <c t="s" s="21" r="K178">
        <v>109</v>
      </c>
      <c s="21" r="L178">
        <v>26</v>
      </c>
      <c s="42" r="M178">
        <v>2.8</v>
      </c>
      <c s="42" r="N178">
        <v>0.011</v>
      </c>
      <c s="42" r="O178"/>
      <c s="42" r="P178">
        <f>IF((O178&gt;0),N178,0)</f>
        <v>0</v>
      </c>
      <c s="42" r="Q178"/>
    </row>
    <row r="179">
      <c t="s" s="42" r="A179">
        <v>17</v>
      </c>
      <c s="42" r="B179">
        <v>178</v>
      </c>
      <c s="21" r="C179">
        <v>60</v>
      </c>
      <c t="s" s="21" r="D179">
        <v>92</v>
      </c>
      <c t="s" s="42" r="E179">
        <v>18</v>
      </c>
      <c t="s" s="42" r="F179">
        <v>18</v>
      </c>
      <c t="str" s="30" r="G179">
        <f>HYPERLINK("http://sofifa.com/en/14w/p/n/46","Swe")</f>
        <v>Swe</v>
      </c>
      <c t="str" s="30" r="H179">
        <f>HYPERLINK("http://sofifa.com/en/14w/p/149568-john-guidetti","J. Guidetti")</f>
        <v>J. Guidetti</v>
      </c>
      <c s="21" r="I179">
        <v>73</v>
      </c>
      <c t="s" s="21" r="J179">
        <v>90</v>
      </c>
      <c t="s" s="21" r="K179">
        <v>73</v>
      </c>
      <c s="21" r="L179">
        <v>21</v>
      </c>
      <c s="42" r="M179">
        <v>3.9</v>
      </c>
      <c s="42" r="N179">
        <v>0.009</v>
      </c>
      <c s="42" r="O179"/>
      <c s="42" r="P179">
        <f>IF((O179&gt;0),N179,0)</f>
        <v>0</v>
      </c>
      <c s="42" r="Q179"/>
    </row>
    <row r="180">
      <c t="s" s="42" r="A180">
        <v>17</v>
      </c>
      <c s="42" r="B180">
        <v>179</v>
      </c>
      <c s="21" r="C180">
        <v>17</v>
      </c>
      <c t="s" s="21" r="D180">
        <v>92</v>
      </c>
      <c t="s" s="42" r="E180">
        <v>18</v>
      </c>
      <c t="s" s="42" r="F180">
        <v>18</v>
      </c>
      <c t="str" s="30" r="G180">
        <f>HYPERLINK("http://sofifa.com/en/14w/p/n/14","Eng")</f>
        <v>Eng</v>
      </c>
      <c t="str" s="30" r="H180">
        <f>HYPERLINK("http://sofifa.com/en/14w/p/149167-jack-rodwell","J. Rodwell")</f>
        <v>J. Rodwell</v>
      </c>
      <c s="21" r="I180">
        <v>77</v>
      </c>
      <c t="s" s="21" r="J180">
        <v>81</v>
      </c>
      <c t="s" s="21" r="K180">
        <v>99</v>
      </c>
      <c s="21" r="L180">
        <v>22</v>
      </c>
      <c s="42" r="M180">
        <v>6</v>
      </c>
      <c s="42" r="N180">
        <v>0.015</v>
      </c>
      <c s="42" r="O180"/>
      <c s="42" r="P180">
        <f>IF((O180&gt;0),N180,0)</f>
        <v>0</v>
      </c>
      <c s="42" r="Q180"/>
    </row>
    <row r="181">
      <c t="s" s="42" r="A181">
        <v>17</v>
      </c>
      <c s="42" r="B181">
        <v>180</v>
      </c>
      <c s="21" r="C181">
        <v>35</v>
      </c>
      <c t="s" s="21" r="D181">
        <v>92</v>
      </c>
      <c t="s" s="42" r="E181">
        <v>18</v>
      </c>
      <c t="s" s="42" r="F181">
        <v>18</v>
      </c>
      <c t="str" s="30" r="G181">
        <f>HYPERLINK("http://sofifa.com/en/14w/p/n/15","Mon")</f>
        <v>Mon</v>
      </c>
      <c t="str" s="30" r="H181">
        <f>HYPERLINK("http://sofifa.com/en/14w/p/148673-stevan-jovetic","S. Jovetić")</f>
        <v>S. Jovetić</v>
      </c>
      <c s="21" r="I181">
        <v>84</v>
      </c>
      <c t="s" s="21" r="J181">
        <v>90</v>
      </c>
      <c t="s" s="21" r="K181">
        <v>73</v>
      </c>
      <c s="21" r="L181">
        <v>23</v>
      </c>
      <c s="42" r="M181">
        <v>21.7</v>
      </c>
      <c s="42" r="N181">
        <v>0.08</v>
      </c>
      <c s="42" r="O181"/>
      <c s="42" r="P181">
        <f>IF((O181&gt;0),N181,0)</f>
        <v>0</v>
      </c>
      <c s="42" r="Q181"/>
    </row>
    <row r="182">
      <c t="s" s="42" r="A182">
        <v>17</v>
      </c>
      <c s="42" r="B182">
        <v>181</v>
      </c>
      <c s="21" r="C182">
        <v>10</v>
      </c>
      <c t="s" s="21" r="D182">
        <v>92</v>
      </c>
      <c t="s" s="42" r="E182">
        <v>18</v>
      </c>
      <c t="s" s="42" r="F182">
        <v>18</v>
      </c>
      <c t="str" s="30" r="G182">
        <f>HYPERLINK("http://sofifa.com/en/14w/p/n/8","Bos")</f>
        <v>Bos</v>
      </c>
      <c t="str" s="30" r="H182">
        <f>HYPERLINK("http://sofifa.com/en/14w/p/147347-edin-dzeko","E. Džeko")</f>
        <v>E. Džeko</v>
      </c>
      <c s="21" r="I182">
        <v>83</v>
      </c>
      <c t="s" s="21" r="J182">
        <v>90</v>
      </c>
      <c t="s" s="21" r="K182">
        <v>91</v>
      </c>
      <c s="21" r="L182">
        <v>27</v>
      </c>
      <c s="42" r="M182">
        <v>17.9</v>
      </c>
      <c s="42" r="N182">
        <v>0.068</v>
      </c>
      <c s="42" r="O182"/>
      <c s="42" r="P182">
        <f>IF((O182&gt;0),N182,0)</f>
        <v>0</v>
      </c>
      <c s="42" r="Q182"/>
    </row>
    <row r="183">
      <c t="s" s="42" r="A183">
        <v>17</v>
      </c>
      <c s="42" r="B183">
        <v>182</v>
      </c>
      <c s="21" r="C183">
        <v>2</v>
      </c>
      <c t="s" s="21" r="D183">
        <v>92</v>
      </c>
      <c t="s" s="42" r="E183">
        <v>32</v>
      </c>
      <c t="s" s="42" r="F183">
        <v>18</v>
      </c>
      <c t="str" s="30" r="G183">
        <f>HYPERLINK("http://sofifa.com/en/14w/p/n/14","Eng")</f>
        <v>Eng</v>
      </c>
      <c t="str" s="30" r="H183">
        <f>HYPERLINK("http://sofifa.com/en/14w/p/148177-micah-richards","M. Richards")</f>
        <v>M. Richards</v>
      </c>
      <c s="21" r="I183">
        <v>79</v>
      </c>
      <c t="s" s="21" r="J183">
        <v>72</v>
      </c>
      <c t="s" s="21" r="K183">
        <v>79</v>
      </c>
      <c s="21" r="L183">
        <v>25</v>
      </c>
      <c s="42" r="M183">
        <v>7.3</v>
      </c>
      <c s="42" r="N183">
        <v>0.022</v>
      </c>
      <c s="42" r="O183">
        <v>7.3</v>
      </c>
      <c s="42" r="P183">
        <f>IF((O183&gt;0),N183,0)</f>
        <v>0.022</v>
      </c>
      <c s="42" r="Q183"/>
    </row>
    <row r="184">
      <c t="s" s="42" r="A184">
        <v>17</v>
      </c>
      <c s="42" r="B184">
        <v>183</v>
      </c>
      <c s="21" r="C184">
        <v>8</v>
      </c>
      <c t="s" s="21" r="D184">
        <v>92</v>
      </c>
      <c t="s" s="42" r="E184">
        <v>24</v>
      </c>
      <c t="s" s="42" r="F184">
        <v>18</v>
      </c>
      <c t="str" s="30" r="G184">
        <f>HYPERLINK("http://sofifa.com/en/14w/p/n/18","Fra")</f>
        <v>Fra</v>
      </c>
      <c t="str" s="30" r="H184">
        <f>HYPERLINK("http://sofifa.com/en/14w/p/147813-samir-nasri","S. Nasri")</f>
        <v>S. Nasri</v>
      </c>
      <c s="21" r="I184">
        <v>84</v>
      </c>
      <c t="s" s="21" r="J184">
        <v>88</v>
      </c>
      <c t="s" s="21" r="K184">
        <v>82</v>
      </c>
      <c s="21" r="L184">
        <v>26</v>
      </c>
      <c s="42" r="M184">
        <v>20.8</v>
      </c>
      <c s="42" r="N184">
        <v>0.083</v>
      </c>
      <c s="42" r="O184">
        <v>20.8</v>
      </c>
      <c s="42" r="P184">
        <f>IF((O184&gt;0),N184,0)</f>
        <v>0.083</v>
      </c>
      <c s="42" r="Q184"/>
    </row>
    <row r="185">
      <c t="s" s="42" r="A185">
        <v>17</v>
      </c>
      <c s="42" r="B185">
        <v>184</v>
      </c>
      <c s="21" r="C185">
        <v>26</v>
      </c>
      <c t="s" s="21" r="D185">
        <v>92</v>
      </c>
      <c t="s" s="42" r="E185">
        <v>18</v>
      </c>
      <c t="s" s="42" r="F185">
        <v>18</v>
      </c>
      <c t="str" s="30" r="G185">
        <f>HYPERLINK("http://sofifa.com/en/14w/p/n/52","Arg")</f>
        <v>Arg</v>
      </c>
      <c t="str" s="30" r="H185">
        <f>HYPERLINK("http://sofifa.com/en/14w/p/145434-martin-demichelis","M. Demichelis")</f>
        <v>M. Demichelis</v>
      </c>
      <c s="21" r="I185">
        <v>81</v>
      </c>
      <c t="s" s="21" r="J185">
        <v>75</v>
      </c>
      <c t="s" s="21" r="K185">
        <v>89</v>
      </c>
      <c s="21" r="L185">
        <v>32</v>
      </c>
      <c s="42" r="M185">
        <v>8.6</v>
      </c>
      <c s="42" r="N185">
        <v>0.048</v>
      </c>
      <c s="42" r="O185"/>
      <c s="42" r="P185">
        <f>IF((O185&gt;0),N185,0)</f>
        <v>0</v>
      </c>
      <c s="42" r="Q185"/>
    </row>
    <row r="186">
      <c t="s" s="42" r="A186">
        <v>17</v>
      </c>
      <c s="42" r="B186">
        <v>185</v>
      </c>
      <c s="21" r="C186">
        <v>7</v>
      </c>
      <c t="s" s="21" r="D186">
        <v>92</v>
      </c>
      <c t="s" s="42" r="E186">
        <v>32</v>
      </c>
      <c t="s" s="42" r="F186">
        <v>18</v>
      </c>
      <c t="str" s="30" r="G186">
        <f>HYPERLINK("http://sofifa.com/en/14w/p/n/14","Eng")</f>
        <v>Eng</v>
      </c>
      <c t="str" s="30" r="H186">
        <f>HYPERLINK("http://sofifa.com/en/14w/p/147275-james-milner","J. Milner")</f>
        <v>J. Milner</v>
      </c>
      <c s="21" r="I186">
        <v>81</v>
      </c>
      <c t="s" s="21" r="J186">
        <v>84</v>
      </c>
      <c t="s" s="21" r="K186">
        <v>94</v>
      </c>
      <c s="21" r="L186">
        <v>27</v>
      </c>
      <c s="42" r="M186">
        <v>13</v>
      </c>
      <c s="42" r="N186">
        <v>0.04</v>
      </c>
      <c s="42" r="O186">
        <v>13</v>
      </c>
      <c s="42" r="P186">
        <f>IF((O186&gt;0),N186,0)</f>
        <v>0.04</v>
      </c>
      <c s="42" r="Q186"/>
    </row>
    <row r="187">
      <c t="s" s="42" r="A187">
        <v>17</v>
      </c>
      <c s="42" r="B187">
        <v>186</v>
      </c>
      <c s="21" r="C187">
        <v>6</v>
      </c>
      <c t="s" s="21" r="D187">
        <v>92</v>
      </c>
      <c t="s" s="42" r="E187">
        <v>18</v>
      </c>
      <c t="s" s="42" r="F187">
        <v>18</v>
      </c>
      <c t="str" s="30" r="G187">
        <f>HYPERLINK("http://sofifa.com/en/14w/p/n/14","Eng")</f>
        <v>Eng</v>
      </c>
      <c t="str" s="30" r="H187">
        <f>HYPERLINK("http://sofifa.com/en/14w/p/146038-joleon-lescott","J. Lescott")</f>
        <v>J. Lescott</v>
      </c>
      <c s="21" r="I187">
        <v>81</v>
      </c>
      <c t="s" s="21" r="J187">
        <v>75</v>
      </c>
      <c t="s" s="21" r="K187">
        <v>99</v>
      </c>
      <c s="21" r="L187">
        <v>30</v>
      </c>
      <c s="42" r="M187">
        <v>10.3</v>
      </c>
      <c s="42" r="N187">
        <v>0.045</v>
      </c>
      <c s="42" r="O187"/>
      <c s="42" r="P187">
        <f>IF((O187&gt;0),N187,0)</f>
        <v>0</v>
      </c>
      <c s="42" r="Q187"/>
    </row>
    <row r="188">
      <c t="s" s="42" r="A188">
        <v>17</v>
      </c>
      <c s="42" r="B188">
        <v>187</v>
      </c>
      <c s="21" r="C188">
        <v>22</v>
      </c>
      <c t="s" s="21" r="D188">
        <v>92</v>
      </c>
      <c t="s" s="42" r="E188">
        <v>18</v>
      </c>
      <c t="s" s="42" r="F188">
        <v>18</v>
      </c>
      <c t="str" s="30" r="G188">
        <f>HYPERLINK("http://sofifa.com/en/14w/p/n/18","Fra")</f>
        <v>Fra</v>
      </c>
      <c t="str" s="30" r="H188">
        <f>HYPERLINK("http://sofifa.com/en/14w/p/147113-gael-clichy","G. Clichy")</f>
        <v>G. Clichy</v>
      </c>
      <c s="21" r="I188">
        <v>81</v>
      </c>
      <c t="s" s="21" r="J188">
        <v>78</v>
      </c>
      <c t="s" s="21" r="K188">
        <v>94</v>
      </c>
      <c s="21" r="L188">
        <v>27</v>
      </c>
      <c s="42" r="M188">
        <v>10.5</v>
      </c>
      <c s="42" r="N188">
        <v>0.04</v>
      </c>
      <c s="42" r="O188"/>
      <c s="42" r="P188">
        <f>IF((O188&gt;0),N188,0)</f>
        <v>0</v>
      </c>
      <c s="42" r="Q188"/>
    </row>
    <row r="189">
      <c t="s" s="42" r="A189">
        <v>17</v>
      </c>
      <c s="42" r="B189">
        <v>188</v>
      </c>
      <c s="21" r="C189">
        <v>14</v>
      </c>
      <c t="s" s="21" r="D189">
        <v>92</v>
      </c>
      <c t="s" s="42" r="E189">
        <v>18</v>
      </c>
      <c t="s" s="42" r="F189">
        <v>18</v>
      </c>
      <c t="str" s="30" r="G189">
        <f>HYPERLINK("http://sofifa.com/en/14w/p/n/45","Spa")</f>
        <v>Spa</v>
      </c>
      <c t="str" s="30" r="H189">
        <f>HYPERLINK("http://sofifa.com/en/14w/p/147675-fran-javier-garcia-fernandez","Javi García")</f>
        <v>Javi García</v>
      </c>
      <c s="21" r="I189">
        <v>79</v>
      </c>
      <c t="s" s="21" r="J189">
        <v>98</v>
      </c>
      <c t="s" s="21" r="K189">
        <v>73</v>
      </c>
      <c s="21" r="L189">
        <v>26</v>
      </c>
      <c s="42" r="M189">
        <v>7.1</v>
      </c>
      <c s="42" r="N189">
        <v>0.022</v>
      </c>
      <c s="42" r="O189"/>
      <c s="42" r="P189">
        <f>IF((O189&gt;0),N189,0)</f>
        <v>0</v>
      </c>
      <c s="42" r="Q189"/>
    </row>
    <row r="190">
      <c t="s" s="42" r="A190">
        <v>17</v>
      </c>
      <c s="42" r="B190">
        <v>189</v>
      </c>
      <c s="21" r="C190">
        <v>63</v>
      </c>
      <c t="s" s="21" r="D190">
        <v>97</v>
      </c>
      <c t="s" s="42" r="E190">
        <v>18</v>
      </c>
      <c t="s" s="42" r="F190">
        <v>18</v>
      </c>
      <c t="str" s="30" r="G190">
        <f>HYPERLINK("http://sofifa.com/en/14w/p/n/36","Nor")</f>
        <v>Nor</v>
      </c>
      <c t="str" s="30" r="H190">
        <f>HYPERLINK("http://sofifa.com/en/14w/p/149804-eirik-holmen-johansen","E. Johansen")</f>
        <v>E. Johansen</v>
      </c>
      <c s="21" r="I190">
        <v>56</v>
      </c>
      <c t="s" s="21" r="J190">
        <v>70</v>
      </c>
      <c t="s" s="21" r="K190">
        <v>91</v>
      </c>
      <c s="21" r="L190">
        <v>20</v>
      </c>
      <c s="42" r="M190">
        <v>0.1</v>
      </c>
      <c s="42" r="N190">
        <v>0.002</v>
      </c>
      <c s="42" r="O190"/>
      <c s="42" r="P190">
        <f>IF((O190&gt;0),N190,0)</f>
        <v>0</v>
      </c>
      <c s="42" r="Q190"/>
    </row>
    <row r="191">
      <c t="s" s="42" r="A191">
        <v>17</v>
      </c>
      <c s="42" r="B191">
        <v>190</v>
      </c>
      <c s="21" r="C191">
        <v>66</v>
      </c>
      <c t="s" s="21" r="D191">
        <v>97</v>
      </c>
      <c t="s" s="42" r="E191">
        <v>18</v>
      </c>
      <c t="s" s="42" r="F191">
        <v>18</v>
      </c>
      <c t="str" s="30" r="G191">
        <f>HYPERLINK("http://sofifa.com/en/14w/p/n/18","Fra")</f>
        <v>Fra</v>
      </c>
      <c t="str" s="30" r="H191">
        <f>HYPERLINK("http://sofifa.com/en/14w/p/150685-seko-fofana","S. Fofana")</f>
        <v>S. Fofana</v>
      </c>
      <c s="21" r="I191">
        <v>58</v>
      </c>
      <c t="s" s="21" r="J191">
        <v>98</v>
      </c>
      <c t="s" s="21" r="K191">
        <v>89</v>
      </c>
      <c s="21" r="L191">
        <v>18</v>
      </c>
      <c s="42" r="M191">
        <v>0.3</v>
      </c>
      <c s="42" r="N191">
        <v>0.002</v>
      </c>
      <c s="42" r="O191"/>
      <c s="42" r="P191">
        <f>IF((O191&gt;0),N191,0)</f>
        <v>0</v>
      </c>
      <c s="42" r="Q191"/>
    </row>
    <row r="192">
      <c t="s" s="42" r="A192">
        <v>17</v>
      </c>
      <c s="42" r="B192">
        <v>191</v>
      </c>
      <c s="21" r="C192">
        <v>64</v>
      </c>
      <c t="s" s="21" r="D192">
        <v>97</v>
      </c>
      <c t="s" s="42" r="E192">
        <v>18</v>
      </c>
      <c t="s" s="42" r="F192">
        <v>18</v>
      </c>
      <c t="str" s="30" r="G192">
        <f>HYPERLINK("http://sofifa.com/en/14w/p/n/38","Por")</f>
        <v>Por</v>
      </c>
      <c t="str" s="30" r="H192">
        <f>HYPERLINK("http://sofifa.com/en/14w/p/150920-marcos-paulo-mesquita-lopes","Marcos Lopes")</f>
        <v>Marcos Lopes</v>
      </c>
      <c s="21" r="I192">
        <v>63</v>
      </c>
      <c t="s" s="21" r="J192">
        <v>88</v>
      </c>
      <c t="s" s="21" r="K192">
        <v>94</v>
      </c>
      <c s="21" r="L192">
        <v>17</v>
      </c>
      <c s="42" r="M192">
        <v>1.1</v>
      </c>
      <c s="42" r="N192">
        <v>0.003</v>
      </c>
      <c s="42" r="O192"/>
      <c s="42" r="P192">
        <f>IF((O192&gt;0),N192,0)</f>
        <v>0</v>
      </c>
      <c s="42" r="Q192"/>
    </row>
    <row r="193">
      <c t="s" s="42" r="A193">
        <v>17</v>
      </c>
      <c s="42" r="B193">
        <v>192</v>
      </c>
      <c s="21" r="C193">
        <v>67</v>
      </c>
      <c t="s" s="21" r="D193">
        <v>97</v>
      </c>
      <c t="s" s="42" r="E193">
        <v>18</v>
      </c>
      <c t="s" s="42" r="F193">
        <v>18</v>
      </c>
      <c t="str" s="30" r="G193">
        <f>HYPERLINK("http://sofifa.com/en/14w/p/n/7","Bel")</f>
        <v>Bel</v>
      </c>
      <c t="str" s="30" r="H193">
        <f>HYPERLINK("http://sofifa.com/en/14w/p/151115-mathias-bossaerts","M. Bossaerts")</f>
        <v>M. Bossaerts</v>
      </c>
      <c s="21" r="I193">
        <v>56</v>
      </c>
      <c t="s" s="21" r="J193">
        <v>75</v>
      </c>
      <c t="s" s="21" r="K193">
        <v>89</v>
      </c>
      <c s="21" r="L193">
        <v>16</v>
      </c>
      <c s="42" r="M193">
        <v>0.1</v>
      </c>
      <c s="42" r="N193">
        <v>0.001</v>
      </c>
      <c s="42" r="O193"/>
      <c s="42" r="P193">
        <f>IF((O193&gt;0),N193,0)</f>
        <v>0</v>
      </c>
      <c s="42" r="Q193"/>
    </row>
    <row r="194">
      <c t="s" s="42" r="A194">
        <v>17</v>
      </c>
      <c s="42" r="B194">
        <v>193</v>
      </c>
      <c s="21" r="C194">
        <v>77</v>
      </c>
      <c t="s" s="21" r="D194">
        <v>97</v>
      </c>
      <c t="s" s="42" r="E194">
        <v>18</v>
      </c>
      <c t="s" s="42" r="F194">
        <v>18</v>
      </c>
      <c t="str" s="30" r="G194">
        <f>HYPERLINK("http://sofifa.com/en/14w/p/n/14","Eng")</f>
        <v>Eng</v>
      </c>
      <c t="str" s="30" r="H194">
        <f>HYPERLINK("http://sofifa.com/en/14w/p/150688-devante-cole","D. Cole")</f>
        <v>D. Cole</v>
      </c>
      <c s="21" r="I194">
        <v>56</v>
      </c>
      <c t="s" s="21" r="J194">
        <v>90</v>
      </c>
      <c t="s" s="21" r="K194">
        <v>94</v>
      </c>
      <c s="21" r="L194">
        <v>18</v>
      </c>
      <c s="42" r="M194">
        <v>0.1</v>
      </c>
      <c s="42" r="N194">
        <v>0.002</v>
      </c>
      <c s="42" r="O194"/>
      <c s="42" r="P194">
        <f>IF((O194&gt;0),N194,0)</f>
        <v>0</v>
      </c>
      <c s="42" r="Q194"/>
    </row>
    <row r="195">
      <c t="s" s="42" r="A195">
        <v>17</v>
      </c>
      <c s="42" r="B195">
        <v>194</v>
      </c>
      <c s="21" r="C195">
        <v>29</v>
      </c>
      <c t="s" s="21" r="D195">
        <v>97</v>
      </c>
      <c t="s" s="42" r="E195">
        <v>18</v>
      </c>
      <c t="s" s="42" r="F195">
        <v>18</v>
      </c>
      <c t="str" s="30" r="G195">
        <f>HYPERLINK("http://sofifa.com/en/14w/p/n/14","Eng")</f>
        <v>Eng</v>
      </c>
      <c t="str" s="30" r="H195">
        <f>HYPERLINK("http://sofifa.com/en/14w/p/144293-richard-wright","R. Wright")</f>
        <v>R. Wright</v>
      </c>
      <c s="21" r="I195">
        <v>62</v>
      </c>
      <c t="s" s="21" r="J195">
        <v>70</v>
      </c>
      <c t="s" s="21" r="K195">
        <v>99</v>
      </c>
      <c s="21" r="L195">
        <v>35</v>
      </c>
      <c s="42" r="M195">
        <v>0.3</v>
      </c>
      <c s="42" r="N195">
        <v>0.005</v>
      </c>
      <c s="42" r="O195"/>
      <c s="42" r="P195">
        <f>IF((O195&gt;0),N195,0)</f>
        <v>0</v>
      </c>
      <c s="42" r="Q195"/>
    </row>
    <row r="196">
      <c t="s" s="42" r="A196">
        <v>17</v>
      </c>
      <c s="42" r="B196">
        <v>195</v>
      </c>
      <c s="21" r="C196">
        <v>52</v>
      </c>
      <c t="s" s="21" r="D196">
        <v>97</v>
      </c>
      <c t="s" s="42" r="E196">
        <v>18</v>
      </c>
      <c t="s" s="42" r="F196">
        <v>18</v>
      </c>
      <c t="str" s="30" r="G196">
        <f>HYPERLINK("http://sofifa.com/en/14w/p/n/50","Wal")</f>
        <v>Wal</v>
      </c>
      <c t="str" s="30" r="H196">
        <f>HYPERLINK("http://sofifa.com/en/14w/p/150101-emyr-huws","E. Huws")</f>
        <v>E. Huws</v>
      </c>
      <c s="21" r="I196">
        <v>61</v>
      </c>
      <c t="s" s="21" r="J196">
        <v>81</v>
      </c>
      <c t="s" s="21" r="K196">
        <v>73</v>
      </c>
      <c s="21" r="L196">
        <v>19</v>
      </c>
      <c s="42" r="M196">
        <v>0.7</v>
      </c>
      <c s="42" r="N196">
        <v>0.003</v>
      </c>
      <c s="42" r="O196"/>
      <c s="42" r="P196">
        <f>IF((O196&gt;0),N196,0)</f>
        <v>0</v>
      </c>
      <c s="42" r="Q196"/>
    </row>
    <row r="197">
      <c t="s" s="42" r="A197">
        <v>17</v>
      </c>
      <c s="42" r="B197">
        <v>196</v>
      </c>
      <c s="21" r="C197">
        <v>38</v>
      </c>
      <c t="s" s="21" r="D197">
        <v>97</v>
      </c>
      <c t="s" s="42" r="E197">
        <v>18</v>
      </c>
      <c t="s" s="42" r="F197">
        <v>18</v>
      </c>
      <c t="str" s="30" r="G197">
        <f>HYPERLINK("http://sofifa.com/en/14w/p/n/7","Bel")</f>
        <v>Bel</v>
      </c>
      <c t="str" s="30" r="H197">
        <f>HYPERLINK("http://sofifa.com/en/14w/p/149064-dedryck-boyata","D. Boyata")</f>
        <v>D. Boyata</v>
      </c>
      <c s="21" r="I197">
        <v>70</v>
      </c>
      <c t="s" s="21" r="J197">
        <v>75</v>
      </c>
      <c t="s" s="21" r="K197">
        <v>99</v>
      </c>
      <c s="21" r="L197">
        <v>22</v>
      </c>
      <c s="42" r="M197">
        <v>1.9</v>
      </c>
      <c s="42" r="N197">
        <v>0.006</v>
      </c>
      <c s="42" r="O197"/>
      <c s="42" r="P197">
        <f>IF((O197&gt;0),N197,0)</f>
        <v>0</v>
      </c>
      <c s="42" r="Q197"/>
    </row>
    <row r="198">
      <c t="s" s="42" r="A198">
        <v>17</v>
      </c>
      <c s="42" r="B198">
        <v>197</v>
      </c>
      <c s="21" r="C198">
        <v>43</v>
      </c>
      <c t="s" s="21" r="D198">
        <v>97</v>
      </c>
      <c t="s" s="42" r="E198">
        <v>18</v>
      </c>
      <c t="s" s="42" r="F198">
        <v>18</v>
      </c>
      <c t="str" s="30" r="G198">
        <f>HYPERLINK("http://sofifa.com/en/14w/p/n/14","Eng")</f>
        <v>Eng</v>
      </c>
      <c t="str" s="30" r="H198">
        <f>HYPERLINK("http://sofifa.com/en/14w/p/149228-alex-nimely","A. Nimely")</f>
        <v>A. Nimely</v>
      </c>
      <c s="21" r="I198">
        <v>65</v>
      </c>
      <c t="s" s="21" r="J198">
        <v>90</v>
      </c>
      <c t="s" s="21" r="K198">
        <v>79</v>
      </c>
      <c s="21" r="L198">
        <v>22</v>
      </c>
      <c s="42" r="M198">
        <v>1.2</v>
      </c>
      <c s="42" r="N198">
        <v>0.004</v>
      </c>
      <c s="42" r="O198"/>
      <c s="42" r="P198">
        <f>IF((O198&gt;0),N198,0)</f>
        <v>0</v>
      </c>
      <c s="42" r="Q198"/>
    </row>
    <row r="199">
      <c t="s" s="42" r="A199">
        <v>17</v>
      </c>
      <c s="42" r="B199">
        <v>198</v>
      </c>
      <c s="21" r="C199">
        <v>76</v>
      </c>
      <c t="s" s="21" r="D199">
        <v>97</v>
      </c>
      <c t="s" s="42" r="E199">
        <v>18</v>
      </c>
      <c t="s" s="42" r="F199">
        <v>18</v>
      </c>
      <c t="str" s="30" r="G199">
        <f>HYPERLINK("http://sofifa.com/en/14w/p/n/14","Eng")</f>
        <v>Eng</v>
      </c>
      <c t="str" s="30" r="H199">
        <f>HYPERLINK("http://sofifa.com/en/14w/p/150457-jordi-hiwula","J. Hiwula")</f>
        <v>J. Hiwula</v>
      </c>
      <c s="21" r="I199">
        <v>58</v>
      </c>
      <c t="s" s="21" r="J199">
        <v>90</v>
      </c>
      <c t="s" s="21" r="K199">
        <v>82</v>
      </c>
      <c s="21" r="L199">
        <v>18</v>
      </c>
      <c s="42" r="M199">
        <v>0.4</v>
      </c>
      <c s="42" r="N199">
        <v>0.002</v>
      </c>
      <c s="42" r="O199"/>
      <c s="42" r="P199">
        <f>IF((O199&gt;0),N199,0)</f>
        <v>0</v>
      </c>
      <c s="42" r="Q199"/>
    </row>
    <row r="200">
      <c t="s" s="42" r="A200">
        <v>21</v>
      </c>
      <c s="42" r="B200">
        <v>199</v>
      </c>
      <c s="21" r="C200">
        <v>1</v>
      </c>
      <c t="s" s="21" r="D200">
        <v>70</v>
      </c>
      <c t="s" s="42" r="E200">
        <v>22</v>
      </c>
      <c t="s" s="42" r="F200">
        <v>22</v>
      </c>
      <c t="str" s="30" r="G200">
        <f>HYPERLINK("http://sofifa.com/en/14w/p/n/45","Spa")</f>
        <v>Spa</v>
      </c>
      <c t="str" s="30" r="H200">
        <f>HYPERLINK("http://sofifa.com/en/14w/p/149043-david-de-gea-quintana","De Gea")</f>
        <v>De Gea</v>
      </c>
      <c s="21" r="I200">
        <v>82</v>
      </c>
      <c t="s" s="21" r="J200">
        <v>70</v>
      </c>
      <c t="s" s="21" r="K200">
        <v>91</v>
      </c>
      <c s="21" r="L200">
        <v>22</v>
      </c>
      <c s="42" r="M200">
        <v>12</v>
      </c>
      <c s="42" r="N200">
        <v>0.049</v>
      </c>
      <c s="42" r="O200"/>
      <c s="42" r="P200">
        <f>IF((O200&gt;0),N200,0)</f>
        <v>0</v>
      </c>
      <c s="42" r="Q200"/>
    </row>
    <row r="201">
      <c t="s" s="42" r="A201">
        <v>21</v>
      </c>
      <c s="42" r="B201">
        <v>200</v>
      </c>
      <c s="21" r="C201">
        <v>12</v>
      </c>
      <c t="s" s="21" r="D201">
        <v>72</v>
      </c>
      <c t="s" s="42" r="E201">
        <v>22</v>
      </c>
      <c t="s" s="42" r="F201">
        <v>22</v>
      </c>
      <c t="str" s="30" r="G201">
        <f>HYPERLINK("http://sofifa.com/en/14w/p/n/14","Eng")</f>
        <v>Eng</v>
      </c>
      <c t="str" s="30" r="H201">
        <f>HYPERLINK("http://sofifa.com/en/14w/p/148693-chris-smalling","C. Smalling")</f>
        <v>C. Smalling</v>
      </c>
      <c s="21" r="I201">
        <v>78</v>
      </c>
      <c t="s" s="21" r="J201">
        <v>75</v>
      </c>
      <c t="s" s="21" r="K201">
        <v>91</v>
      </c>
      <c s="21" r="L201">
        <v>23</v>
      </c>
      <c s="42" r="M201">
        <v>6.7</v>
      </c>
      <c s="42" r="N201">
        <v>0.018</v>
      </c>
      <c s="42" r="O201"/>
      <c s="42" r="P201">
        <f>IF((O201&gt;0),N201,0)</f>
        <v>0</v>
      </c>
      <c s="42" r="Q201"/>
    </row>
    <row r="202">
      <c t="s" s="42" r="A202">
        <v>21</v>
      </c>
      <c s="42" r="B202">
        <v>201</v>
      </c>
      <c s="21" r="C202">
        <v>5</v>
      </c>
      <c t="s" s="21" r="D202">
        <v>74</v>
      </c>
      <c t="s" s="42" r="E202">
        <v>22</v>
      </c>
      <c t="s" s="42" r="F202">
        <v>22</v>
      </c>
      <c t="str" s="30" r="G202">
        <f>HYPERLINK("http://sofifa.com/en/14w/p/n/14","Eng")</f>
        <v>Eng</v>
      </c>
      <c t="str" s="30" r="H202">
        <f>HYPERLINK("http://sofifa.com/en/14w/p/144660-rio-ferdinand","R. Ferdinand")</f>
        <v>R. Ferdinand</v>
      </c>
      <c s="21" r="I202">
        <v>83</v>
      </c>
      <c t="s" s="21" r="J202">
        <v>75</v>
      </c>
      <c t="s" s="21" r="K202">
        <v>71</v>
      </c>
      <c s="21" r="L202">
        <v>34</v>
      </c>
      <c s="42" r="M202">
        <v>11.1</v>
      </c>
      <c s="42" r="N202">
        <v>0.087</v>
      </c>
      <c s="42" r="O202"/>
      <c s="42" r="P202">
        <f>IF((O202&gt;0),N202,0)</f>
        <v>0</v>
      </c>
      <c s="42" r="Q202"/>
    </row>
    <row r="203">
      <c t="s" s="42" r="A203">
        <v>21</v>
      </c>
      <c s="42" r="B203">
        <v>202</v>
      </c>
      <c s="21" r="C203">
        <v>15</v>
      </c>
      <c t="s" s="21" r="D203">
        <v>77</v>
      </c>
      <c t="s" s="42" r="E203">
        <v>22</v>
      </c>
      <c t="s" s="42" r="F203">
        <v>22</v>
      </c>
      <c t="str" s="30" r="G203">
        <f>HYPERLINK("http://sofifa.com/en/14w/p/n/51","Ser")</f>
        <v>Ser</v>
      </c>
      <c t="str" s="30" r="H203">
        <f>HYPERLINK("http://sofifa.com/en/14w/p/145739-nemanja-vidic","N. Vidić")</f>
        <v>N. Vidić</v>
      </c>
      <c s="21" r="I203">
        <v>87</v>
      </c>
      <c t="s" s="21" r="J203">
        <v>75</v>
      </c>
      <c t="s" s="21" r="K203">
        <v>99</v>
      </c>
      <c s="21" r="L203">
        <v>31</v>
      </c>
      <c s="42" r="M203">
        <v>27.2</v>
      </c>
      <c s="42" r="N203">
        <v>0.197</v>
      </c>
      <c s="42" r="O203"/>
      <c s="42" r="P203">
        <f>IF((O203&gt;0),N203,0)</f>
        <v>0</v>
      </c>
      <c s="42" r="Q203"/>
    </row>
    <row r="204">
      <c t="s" s="42" r="A204">
        <v>21</v>
      </c>
      <c s="42" r="B204">
        <v>203</v>
      </c>
      <c s="21" r="C204">
        <v>3</v>
      </c>
      <c t="s" s="21" r="D204">
        <v>78</v>
      </c>
      <c t="s" s="42" r="E204">
        <v>22</v>
      </c>
      <c t="s" s="42" r="F204">
        <v>22</v>
      </c>
      <c t="str" s="30" r="G204">
        <f>HYPERLINK("http://sofifa.com/en/14w/p/n/18","Fra")</f>
        <v>Fra</v>
      </c>
      <c t="str" s="30" r="H204">
        <f>HYPERLINK("http://sofifa.com/en/14w/p/145580-patrice-evra","P. Evra")</f>
        <v>P. Evra</v>
      </c>
      <c s="21" r="I204">
        <v>82</v>
      </c>
      <c t="s" s="21" r="J204">
        <v>78</v>
      </c>
      <c t="s" s="21" r="K204">
        <v>86</v>
      </c>
      <c s="21" r="L204">
        <v>32</v>
      </c>
      <c s="42" r="M204">
        <v>9.5</v>
      </c>
      <c s="42" r="N204">
        <v>0.064</v>
      </c>
      <c s="42" r="O204"/>
      <c s="42" r="P204">
        <f>IF((O204&gt;0),N204,0)</f>
        <v>0</v>
      </c>
      <c s="42" r="Q204"/>
    </row>
    <row r="205">
      <c t="s" s="42" r="A205">
        <v>21</v>
      </c>
      <c s="42" r="B205">
        <v>204</v>
      </c>
      <c s="21" r="C205">
        <v>16</v>
      </c>
      <c t="s" s="21" r="D205">
        <v>80</v>
      </c>
      <c t="s" s="42" r="E205">
        <v>22</v>
      </c>
      <c t="s" s="42" r="F205">
        <v>22</v>
      </c>
      <c t="str" s="30" r="G205">
        <f>HYPERLINK("http://sofifa.com/en/14w/p/n/14","Eng")</f>
        <v>Eng</v>
      </c>
      <c t="str" s="30" r="H205">
        <f>HYPERLINK("http://sofifa.com/en/14w/p/145654-michael-carrick","M. Carrick")</f>
        <v>M. Carrick</v>
      </c>
      <c s="21" r="I205">
        <v>82</v>
      </c>
      <c t="s" s="21" r="J205">
        <v>81</v>
      </c>
      <c t="s" s="21" r="K205">
        <v>99</v>
      </c>
      <c s="21" r="L205">
        <v>31</v>
      </c>
      <c s="42" r="M205">
        <v>11.2</v>
      </c>
      <c s="42" r="N205">
        <v>0.062</v>
      </c>
      <c s="42" r="O205"/>
      <c s="42" r="P205">
        <f>IF((O205&gt;0),N205,0)</f>
        <v>0</v>
      </c>
      <c s="42" r="Q205"/>
    </row>
    <row r="206">
      <c t="s" s="42" r="A206">
        <v>21</v>
      </c>
      <c s="42" r="B206">
        <v>205</v>
      </c>
      <c s="21" r="C206">
        <v>31</v>
      </c>
      <c t="s" s="21" r="D206">
        <v>83</v>
      </c>
      <c t="s" s="42" r="E206">
        <v>22</v>
      </c>
      <c t="s" s="42" r="F206">
        <v>22</v>
      </c>
      <c t="str" s="30" r="G206">
        <f>HYPERLINK("http://sofifa.com/en/14w/p/n/7","Bel")</f>
        <v>Bel</v>
      </c>
      <c t="str" s="30" r="H206">
        <f>HYPERLINK("http://sofifa.com/en/14w/p/147962-marouane-fellaini","M. Fellaini")</f>
        <v>M. Fellaini</v>
      </c>
      <c s="21" r="I206">
        <v>81</v>
      </c>
      <c t="s" s="21" r="J206">
        <v>81</v>
      </c>
      <c t="s" s="21" r="K206">
        <v>91</v>
      </c>
      <c s="21" r="L206">
        <v>25</v>
      </c>
      <c s="42" r="M206">
        <v>12.3</v>
      </c>
      <c s="42" r="N206">
        <v>0.04</v>
      </c>
      <c s="42" r="O206"/>
      <c s="42" r="P206">
        <f>IF((O206&gt;0),N206,0)</f>
        <v>0</v>
      </c>
      <c s="42" r="Q206"/>
    </row>
    <row r="207">
      <c t="s" s="42" r="A207">
        <v>21</v>
      </c>
      <c s="42" r="B207">
        <v>206</v>
      </c>
      <c s="21" r="C207">
        <v>25</v>
      </c>
      <c t="s" s="21" r="D207">
        <v>84</v>
      </c>
      <c t="s" s="42" r="E207">
        <v>22</v>
      </c>
      <c t="s" s="42" r="F207">
        <v>22</v>
      </c>
      <c t="str" s="30" r="G207">
        <f>HYPERLINK("http://sofifa.com/en/14w/p/n/57","Ecu")</f>
        <v>Ecu</v>
      </c>
      <c t="str" s="30" r="H207">
        <f>HYPERLINK("http://sofifa.com/en/14w/p/147122-antonio-valencia","A. Valencia")</f>
        <v>A. Valencia</v>
      </c>
      <c s="21" r="I207">
        <v>83</v>
      </c>
      <c t="s" s="21" r="J207">
        <v>84</v>
      </c>
      <c t="s" s="21" r="K207">
        <v>79</v>
      </c>
      <c s="21" r="L207">
        <v>27</v>
      </c>
      <c s="42" r="M207">
        <v>15.6</v>
      </c>
      <c s="42" r="N207">
        <v>0.068</v>
      </c>
      <c s="42" r="O207"/>
      <c s="42" r="P207">
        <f>IF((O207&gt;0),N207,0)</f>
        <v>0</v>
      </c>
      <c s="42" r="Q207"/>
    </row>
    <row r="208">
      <c t="s" s="42" r="A208">
        <v>21</v>
      </c>
      <c s="42" r="B208">
        <v>207</v>
      </c>
      <c s="21" r="C208">
        <v>18</v>
      </c>
      <c t="s" s="21" r="D208">
        <v>87</v>
      </c>
      <c t="s" s="42" r="E208">
        <v>22</v>
      </c>
      <c t="s" s="42" r="F208">
        <v>22</v>
      </c>
      <c t="str" s="30" r="G208">
        <f>HYPERLINK("http://sofifa.com/en/14w/p/n/14","Eng")</f>
        <v>Eng</v>
      </c>
      <c t="str" s="30" r="H208">
        <f>HYPERLINK("http://sofifa.com/en/14w/p/147096-ashley-young","A. Young")</f>
        <v>A. Young</v>
      </c>
      <c s="21" r="I208">
        <v>80</v>
      </c>
      <c t="s" s="21" r="J208">
        <v>87</v>
      </c>
      <c t="s" s="21" r="K208">
        <v>94</v>
      </c>
      <c s="21" r="L208">
        <v>27</v>
      </c>
      <c s="42" r="M208">
        <v>10.2</v>
      </c>
      <c s="42" r="N208">
        <v>0.03</v>
      </c>
      <c s="42" r="O208"/>
      <c s="42" r="P208">
        <f>IF((O208&gt;0),N208,0)</f>
        <v>0</v>
      </c>
      <c s="42" r="Q208"/>
    </row>
    <row r="209">
      <c t="s" s="42" r="A209">
        <v>21</v>
      </c>
      <c s="42" r="B209">
        <v>208</v>
      </c>
      <c s="21" r="C209">
        <v>10</v>
      </c>
      <c t="s" s="21" r="D209">
        <v>88</v>
      </c>
      <c t="s" s="42" r="E209">
        <v>22</v>
      </c>
      <c t="s" s="42" r="F209">
        <v>22</v>
      </c>
      <c t="str" s="30" r="G209">
        <f>HYPERLINK("http://sofifa.com/en/14w/p/n/14","Eng")</f>
        <v>Eng</v>
      </c>
      <c t="str" s="30" r="H209">
        <f>HYPERLINK("http://sofifa.com/en/14w/p/147203-wayne-rooney","W. Rooney")</f>
        <v>W. Rooney</v>
      </c>
      <c s="21" r="I209">
        <v>87</v>
      </c>
      <c t="s" s="21" r="J209">
        <v>108</v>
      </c>
      <c t="s" s="21" r="K209">
        <v>94</v>
      </c>
      <c s="21" r="L209">
        <v>27</v>
      </c>
      <c s="42" r="M209">
        <v>39.7</v>
      </c>
      <c s="42" r="N209">
        <v>0.17</v>
      </c>
      <c s="42" r="O209"/>
      <c s="42" r="P209">
        <f>IF((O209&gt;0),N209,0)</f>
        <v>0</v>
      </c>
      <c s="42" r="Q209"/>
    </row>
    <row r="210">
      <c t="s" s="42" r="A210">
        <v>21</v>
      </c>
      <c s="42" r="B210">
        <v>209</v>
      </c>
      <c s="21" r="C210">
        <v>20</v>
      </c>
      <c t="s" s="21" r="D210">
        <v>90</v>
      </c>
      <c t="s" s="42" r="E210">
        <v>22</v>
      </c>
      <c t="s" s="42" r="F210">
        <v>22</v>
      </c>
      <c t="str" s="30" r="G210">
        <f>HYPERLINK("http://sofifa.com/en/14w/p/n/34","Net")</f>
        <v>Net</v>
      </c>
      <c t="str" s="30" r="H210">
        <f>HYPERLINK("http://sofifa.com/en/14w/p/146393-robin-van-persie","R. van Persie")</f>
        <v>R. van Persie</v>
      </c>
      <c s="21" r="I210">
        <v>89</v>
      </c>
      <c t="s" s="21" r="J210">
        <v>90</v>
      </c>
      <c t="s" s="21" r="K210">
        <v>99</v>
      </c>
      <c s="21" r="L210">
        <v>29</v>
      </c>
      <c s="42" r="M210">
        <v>46.3</v>
      </c>
      <c s="42" r="N210">
        <v>0.27</v>
      </c>
      <c s="42" r="O210"/>
      <c s="42" r="P210">
        <f>IF((O210&gt;0),N210,0)</f>
        <v>0</v>
      </c>
      <c s="42" r="Q210"/>
    </row>
    <row r="211">
      <c t="s" s="42" r="A211">
        <v>21</v>
      </c>
      <c s="42" r="B211">
        <v>210</v>
      </c>
      <c s="21" r="C211">
        <v>28</v>
      </c>
      <c t="s" s="21" r="D211">
        <v>92</v>
      </c>
      <c t="s" s="42" r="E211">
        <v>22</v>
      </c>
      <c t="s" s="42" r="F211">
        <v>22</v>
      </c>
      <c t="str" s="30" r="G211">
        <f>HYPERLINK("http://sofifa.com/en/14w/p/n/34","Net")</f>
        <v>Net</v>
      </c>
      <c t="str" s="30" r="H211">
        <f>HYPERLINK("http://sofifa.com/en/14w/p/148409-alexander-buttner","A. Büttner")</f>
        <v>A. Büttner</v>
      </c>
      <c s="21" r="I211">
        <v>73</v>
      </c>
      <c t="s" s="21" r="J211">
        <v>78</v>
      </c>
      <c t="s" s="21" r="K211">
        <v>94</v>
      </c>
      <c s="21" r="L211">
        <v>24</v>
      </c>
      <c s="42" r="M211">
        <v>3</v>
      </c>
      <c s="42" r="N211">
        <v>0.01</v>
      </c>
      <c s="42" r="O211"/>
      <c s="42" r="P211">
        <f>IF((O211&gt;0),N211,0)</f>
        <v>0</v>
      </c>
      <c s="42" r="Q211"/>
    </row>
    <row r="212">
      <c t="s" s="42" r="A212">
        <v>21</v>
      </c>
      <c s="42" r="B212">
        <v>211</v>
      </c>
      <c s="21" r="C212">
        <v>26</v>
      </c>
      <c t="s" s="21" r="D212">
        <v>92</v>
      </c>
      <c t="s" s="42" r="E212">
        <v>22</v>
      </c>
      <c t="s" s="42" r="F212">
        <v>22</v>
      </c>
      <c t="str" s="30" r="G212">
        <f>HYPERLINK("http://sofifa.com/en/14w/p/n/163","Jap")</f>
        <v>Jap</v>
      </c>
      <c t="str" s="30" r="H212">
        <f>HYPERLINK("http://sofifa.com/en/14w/p/148443-shinji-kagawa","S. Kagawa")</f>
        <v>S. Kagawa</v>
      </c>
      <c s="21" r="I212">
        <v>83</v>
      </c>
      <c t="s" s="21" r="J212">
        <v>88</v>
      </c>
      <c t="s" s="21" r="K212">
        <v>86</v>
      </c>
      <c s="21" r="L212">
        <v>24</v>
      </c>
      <c s="42" r="M212">
        <v>19.9</v>
      </c>
      <c s="42" r="N212">
        <v>0.068</v>
      </c>
      <c s="42" r="O212"/>
      <c s="42" r="P212">
        <f>IF((O212&gt;0),N212,0)</f>
        <v>0</v>
      </c>
      <c s="42" r="Q212"/>
    </row>
    <row r="213">
      <c t="s" s="42" r="A213">
        <v>21</v>
      </c>
      <c s="42" r="B213">
        <v>212</v>
      </c>
      <c s="21" r="C213">
        <v>23</v>
      </c>
      <c t="s" s="21" r="D213">
        <v>92</v>
      </c>
      <c t="s" s="42" r="E213">
        <v>22</v>
      </c>
      <c t="s" s="42" r="F213">
        <v>22</v>
      </c>
      <c t="str" s="30" r="G213">
        <f>HYPERLINK("http://sofifa.com/en/14w/p/n/14","Eng")</f>
        <v>Eng</v>
      </c>
      <c t="str" s="30" r="H213">
        <f>HYPERLINK("http://sofifa.com/en/14w/p/148591-tom-cleverley","T. Cleverley")</f>
        <v>T. Cleverley</v>
      </c>
      <c s="21" r="I213">
        <v>78</v>
      </c>
      <c t="s" s="21" r="J213">
        <v>88</v>
      </c>
      <c t="s" s="21" r="K213">
        <v>94</v>
      </c>
      <c s="21" r="L213">
        <v>23</v>
      </c>
      <c s="42" r="M213">
        <v>7.7</v>
      </c>
      <c s="42" r="N213">
        <v>0.018</v>
      </c>
      <c s="42" r="O213"/>
      <c s="42" r="P213">
        <f>IF((O213&gt;0),N213,0)</f>
        <v>0</v>
      </c>
      <c s="42" r="Q213"/>
    </row>
    <row r="214">
      <c t="s" s="42" r="A214">
        <v>21</v>
      </c>
      <c s="42" r="B214">
        <v>213</v>
      </c>
      <c s="21" r="C214">
        <v>11</v>
      </c>
      <c t="s" s="21" r="D214">
        <v>92</v>
      </c>
      <c t="s" s="42" r="E214">
        <v>22</v>
      </c>
      <c t="s" s="42" r="F214">
        <v>22</v>
      </c>
      <c t="str" s="30" r="G214">
        <f>HYPERLINK("http://sofifa.com/en/14w/p/n/50","Wal")</f>
        <v>Wal</v>
      </c>
      <c t="str" s="30" r="H214">
        <f>HYPERLINK("http://sofifa.com/en/14w/p/142856-ryan-giggs","R. Giggs")</f>
        <v>R. Giggs</v>
      </c>
      <c s="21" r="I214">
        <v>80</v>
      </c>
      <c t="s" s="21" r="J214">
        <v>88</v>
      </c>
      <c t="s" s="21" r="K214">
        <v>82</v>
      </c>
      <c s="21" r="L214">
        <v>39</v>
      </c>
      <c s="42" r="M214">
        <v>4.6</v>
      </c>
      <c s="42" r="N214">
        <v>0.038</v>
      </c>
      <c s="42" r="O214"/>
      <c s="42" r="P214">
        <f>IF((O214&gt;0),N214,0)</f>
        <v>0</v>
      </c>
      <c s="42" r="Q214"/>
    </row>
    <row r="215">
      <c t="s" s="42" r="A215">
        <v>21</v>
      </c>
      <c s="42" r="B215">
        <v>214</v>
      </c>
      <c s="21" r="C215">
        <v>4</v>
      </c>
      <c t="s" s="21" r="D215">
        <v>92</v>
      </c>
      <c t="s" s="42" r="E215">
        <v>22</v>
      </c>
      <c t="s" s="42" r="F215">
        <v>22</v>
      </c>
      <c t="str" s="30" r="G215">
        <f>HYPERLINK("http://sofifa.com/en/14w/p/n/14","Eng")</f>
        <v>Eng</v>
      </c>
      <c t="str" s="30" r="H215">
        <f>HYPERLINK("http://sofifa.com/en/14w/p/149514-phil-jones","P. Jones")</f>
        <v>P. Jones</v>
      </c>
      <c s="21" r="I215">
        <v>78</v>
      </c>
      <c t="s" s="21" r="J215">
        <v>72</v>
      </c>
      <c t="s" s="21" r="K215">
        <v>99</v>
      </c>
      <c s="21" r="L215">
        <v>21</v>
      </c>
      <c s="42" r="M215">
        <v>6.6</v>
      </c>
      <c s="42" r="N215">
        <v>0.017</v>
      </c>
      <c s="42" r="O215"/>
      <c s="42" r="P215">
        <f>IF((O215&gt;0),N215,0)</f>
        <v>0</v>
      </c>
      <c s="42" r="Q215"/>
    </row>
    <row r="216">
      <c t="s" s="42" r="A216">
        <v>21</v>
      </c>
      <c s="42" r="B216">
        <v>215</v>
      </c>
      <c s="21" r="C216">
        <v>19</v>
      </c>
      <c t="s" s="21" r="D216">
        <v>92</v>
      </c>
      <c t="s" s="42" r="E216">
        <v>22</v>
      </c>
      <c t="s" s="42" r="F216">
        <v>22</v>
      </c>
      <c t="str" s="30" r="G216">
        <f>HYPERLINK("http://sofifa.com/en/14w/p/n/14","Eng")</f>
        <v>Eng</v>
      </c>
      <c t="str" s="30" r="H216">
        <f>HYPERLINK("http://sofifa.com/en/14w/p/149062-danny-welbeck","D. Welbeck")</f>
        <v>D. Welbeck</v>
      </c>
      <c s="21" r="I216">
        <v>78</v>
      </c>
      <c t="s" s="21" r="J216">
        <v>90</v>
      </c>
      <c t="s" s="21" r="K216">
        <v>73</v>
      </c>
      <c s="21" r="L216">
        <v>22</v>
      </c>
      <c s="42" r="M216">
        <v>8.8</v>
      </c>
      <c s="42" r="N216">
        <v>0.017</v>
      </c>
      <c s="42" r="O216"/>
      <c s="42" r="P216">
        <f>IF((O216&gt;0),N216,0)</f>
        <v>0</v>
      </c>
      <c s="42" r="Q216"/>
    </row>
    <row r="217">
      <c t="s" s="42" r="A217">
        <v>21</v>
      </c>
      <c s="42" r="B217">
        <v>216</v>
      </c>
      <c s="21" r="C217">
        <v>14</v>
      </c>
      <c t="s" s="21" r="D217">
        <v>92</v>
      </c>
      <c t="s" s="42" r="E217">
        <v>22</v>
      </c>
      <c t="s" s="42" r="F217">
        <v>22</v>
      </c>
      <c t="str" s="30" r="G217">
        <f>HYPERLINK("http://sofifa.com/en/14w/p/n/83","Mex")</f>
        <v>Mex</v>
      </c>
      <c t="str" s="30" r="H217">
        <f>HYPERLINK("http://sofifa.com/en/14w/p/148154-javier-hernandez","J. Hernández")</f>
        <v>J. Hernández</v>
      </c>
      <c s="21" r="I217">
        <v>82</v>
      </c>
      <c t="s" s="21" r="J217">
        <v>90</v>
      </c>
      <c t="s" s="21" r="K217">
        <v>94</v>
      </c>
      <c s="21" r="L217">
        <v>25</v>
      </c>
      <c s="42" r="M217">
        <v>17.1</v>
      </c>
      <c s="42" r="N217">
        <v>0.053</v>
      </c>
      <c s="42" r="O217"/>
      <c s="42" r="P217">
        <f>IF((O217&gt;0),N217,0)</f>
        <v>0</v>
      </c>
      <c s="42" r="Q217"/>
    </row>
    <row r="218">
      <c t="s" s="42" r="A218">
        <v>21</v>
      </c>
      <c s="42" r="B218">
        <v>217</v>
      </c>
      <c s="21" r="C218">
        <v>13</v>
      </c>
      <c t="s" s="21" r="D218">
        <v>92</v>
      </c>
      <c t="s" s="42" r="E218">
        <v>22</v>
      </c>
      <c t="s" s="42" r="F218">
        <v>22</v>
      </c>
      <c t="str" s="30" r="G218">
        <f>HYPERLINK("http://sofifa.com/en/14w/p/n/13","Den")</f>
        <v>Den</v>
      </c>
      <c t="str" s="30" r="H218">
        <f>HYPERLINK("http://sofifa.com/en/14w/p/146644-anders-lindegaard","A. Lindegaard")</f>
        <v>A. Lindegaard</v>
      </c>
      <c s="21" r="I218">
        <v>78</v>
      </c>
      <c t="s" s="21" r="J218">
        <v>70</v>
      </c>
      <c t="s" s="21" r="K218">
        <v>91</v>
      </c>
      <c s="21" r="L218">
        <v>29</v>
      </c>
      <c s="42" r="M218">
        <v>4.8</v>
      </c>
      <c s="42" r="N218">
        <v>0.02</v>
      </c>
      <c s="42" r="O218"/>
      <c s="42" r="P218">
        <f>IF((O218&gt;0),N218,0)</f>
        <v>0</v>
      </c>
      <c s="42" r="Q218"/>
    </row>
    <row r="219">
      <c t="s" s="42" r="A219">
        <v>21</v>
      </c>
      <c s="42" r="B219">
        <v>218</v>
      </c>
      <c s="21" r="C219">
        <v>24</v>
      </c>
      <c t="s" s="21" r="D219">
        <v>92</v>
      </c>
      <c t="s" s="42" r="E219">
        <v>22</v>
      </c>
      <c t="s" s="42" r="F219">
        <v>22</v>
      </c>
      <c t="str" s="30" r="G219">
        <f>HYPERLINK("http://sofifa.com/en/14w/p/n/42","Sco")</f>
        <v>Sco</v>
      </c>
      <c t="str" s="30" r="H219">
        <f>HYPERLINK("http://sofifa.com/en/14w/p/146572-darren-fletcher","D. Fletcher")</f>
        <v>D. Fletcher</v>
      </c>
      <c s="21" r="I219">
        <v>79</v>
      </c>
      <c t="s" s="21" r="J219">
        <v>81</v>
      </c>
      <c t="s" s="21" r="K219">
        <v>89</v>
      </c>
      <c s="21" r="L219">
        <v>29</v>
      </c>
      <c s="42" r="M219">
        <v>6.4</v>
      </c>
      <c s="42" r="N219">
        <v>0.024</v>
      </c>
      <c s="42" r="O219"/>
      <c s="42" r="P219">
        <f>IF((O219&gt;0),N219,0)</f>
        <v>0</v>
      </c>
      <c s="42" r="Q219"/>
    </row>
    <row r="220">
      <c t="s" s="42" r="A220">
        <v>21</v>
      </c>
      <c s="42" r="B220">
        <v>219</v>
      </c>
      <c s="21" r="C220">
        <v>17</v>
      </c>
      <c t="s" s="21" r="D220">
        <v>92</v>
      </c>
      <c t="s" s="42" r="E220">
        <v>24</v>
      </c>
      <c t="s" s="42" r="F220">
        <v>22</v>
      </c>
      <c t="str" s="30" r="G220">
        <f>HYPERLINK("http://sofifa.com/en/14w/p/n/38","Por")</f>
        <v>Por</v>
      </c>
      <c t="str" s="30" r="H220">
        <f>HYPERLINK("http://sofifa.com/en/14w/p/147592-luis-carlos-almeida-da-cunha","Nani")</f>
        <v>Nani</v>
      </c>
      <c s="21" r="I220">
        <v>83</v>
      </c>
      <c t="s" s="21" r="J220">
        <v>84</v>
      </c>
      <c t="s" s="21" r="K220">
        <v>94</v>
      </c>
      <c s="21" r="L220">
        <v>26</v>
      </c>
      <c s="42" r="M220">
        <v>17.4</v>
      </c>
      <c s="42" r="N220">
        <v>0.068</v>
      </c>
      <c s="42" r="O220">
        <v>17.4</v>
      </c>
      <c s="42" r="P220">
        <f>IF((O220&gt;0),N220,0)</f>
        <v>0.068</v>
      </c>
      <c s="42" r="Q220"/>
    </row>
    <row r="221">
      <c t="s" s="42" r="A221">
        <v>21</v>
      </c>
      <c s="42" r="B221">
        <v>220</v>
      </c>
      <c s="21" r="C221">
        <v>6</v>
      </c>
      <c t="s" s="21" r="D221">
        <v>92</v>
      </c>
      <c t="s" s="42" r="E221">
        <v>22</v>
      </c>
      <c t="s" s="42" r="F221">
        <v>22</v>
      </c>
      <c t="str" s="30" r="G221">
        <f>HYPERLINK("http://sofifa.com/en/14w/p/n/35","Nor")</f>
        <v>Nor</v>
      </c>
      <c t="str" s="30" r="H221">
        <f>HYPERLINK("http://sofifa.com/en/14w/p/148003-jonny-evans","J. Evans")</f>
        <v>J. Evans</v>
      </c>
      <c s="21" r="I221">
        <v>79</v>
      </c>
      <c t="s" s="21" r="J221">
        <v>75</v>
      </c>
      <c t="s" s="21" r="K221">
        <v>99</v>
      </c>
      <c s="21" r="L221">
        <v>25</v>
      </c>
      <c s="42" r="M221">
        <v>7.2</v>
      </c>
      <c s="42" r="N221">
        <v>0.022</v>
      </c>
      <c s="42" r="O221"/>
      <c s="42" r="P221">
        <f>IF((O221&gt;0),N221,0)</f>
        <v>0</v>
      </c>
      <c s="42" r="Q221"/>
    </row>
    <row r="222">
      <c t="s" s="42" r="A222">
        <v>21</v>
      </c>
      <c s="42" r="B222">
        <v>221</v>
      </c>
      <c s="21" r="C222">
        <v>40</v>
      </c>
      <c t="s" s="21" r="D222">
        <v>92</v>
      </c>
      <c t="s" s="42" r="E222">
        <v>22</v>
      </c>
      <c t="s" s="42" r="F222">
        <v>22</v>
      </c>
      <c t="str" s="30" r="G222">
        <f>HYPERLINK("http://sofifa.com/en/14w/p/n/14","Eng")</f>
        <v>Eng</v>
      </c>
      <c t="str" s="30" r="H222">
        <f>HYPERLINK("http://sofifa.com/en/14w/p/148832-ben-amos","B. Amos")</f>
        <v>B. Amos</v>
      </c>
      <c s="21" r="I222">
        <v>66</v>
      </c>
      <c t="s" s="21" r="J222">
        <v>70</v>
      </c>
      <c t="s" s="21" r="K222">
        <v>91</v>
      </c>
      <c s="21" r="L222">
        <v>23</v>
      </c>
      <c s="42" r="M222">
        <v>1</v>
      </c>
      <c s="42" r="N222">
        <v>0.005</v>
      </c>
      <c s="42" r="O222"/>
      <c s="42" r="P222">
        <f>IF((O222&gt;0),N222,0)</f>
        <v>0</v>
      </c>
      <c s="42" r="Q222"/>
    </row>
    <row r="223">
      <c t="s" s="42" r="A223">
        <v>21</v>
      </c>
      <c s="42" r="B223">
        <v>222</v>
      </c>
      <c s="21" r="C223">
        <v>2</v>
      </c>
      <c t="s" s="21" r="D223">
        <v>97</v>
      </c>
      <c t="s" s="42" r="E223">
        <v>22</v>
      </c>
      <c t="s" s="42" r="F223">
        <v>22</v>
      </c>
      <c t="str" s="30" r="G223">
        <f>HYPERLINK("http://sofifa.com/en/14w/p/n/54","Bra")</f>
        <v>Bra</v>
      </c>
      <c t="str" s="30" r="H223">
        <f>HYPERLINK("http://sofifa.com/en/14w/p/148922-rafael-pereira-da-silva","Rafael")</f>
        <v>Rafael</v>
      </c>
      <c s="21" r="I223">
        <v>78</v>
      </c>
      <c t="s" s="21" r="J223">
        <v>72</v>
      </c>
      <c t="s" s="21" r="K223">
        <v>86</v>
      </c>
      <c s="21" r="L223">
        <v>22</v>
      </c>
      <c s="42" r="M223">
        <v>6.5</v>
      </c>
      <c s="42" r="N223">
        <v>0.017</v>
      </c>
      <c s="42" r="O223"/>
      <c s="42" r="P223">
        <f>IF((O223&gt;0),N223,0)</f>
        <v>0</v>
      </c>
      <c s="42" r="Q223"/>
    </row>
    <row r="224">
      <c t="s" s="42" r="A224">
        <v>21</v>
      </c>
      <c s="42" r="B224">
        <v>223</v>
      </c>
      <c s="21" r="C224">
        <v>52</v>
      </c>
      <c t="s" s="21" r="D224">
        <v>97</v>
      </c>
      <c t="s" s="42" r="E224">
        <v>22</v>
      </c>
      <c t="s" s="42" r="F224">
        <v>22</v>
      </c>
      <c t="str" s="30" r="G224">
        <f>HYPERLINK("http://sofifa.com/en/14w/p/n/50","Wal")</f>
        <v>Wal</v>
      </c>
      <c t="str" s="30" r="H224">
        <f>HYPERLINK("http://sofifa.com/en/14w/p/150206-tom-lawrence","T. Lawrence")</f>
        <v>T. Lawrence</v>
      </c>
      <c s="21" r="I224">
        <v>56</v>
      </c>
      <c t="s" s="21" r="J224">
        <v>108</v>
      </c>
      <c t="s" s="21" r="K224">
        <v>79</v>
      </c>
      <c s="21" r="L224">
        <v>19</v>
      </c>
      <c s="42" r="M224">
        <v>0.1</v>
      </c>
      <c s="42" r="N224">
        <v>0.002</v>
      </c>
      <c s="42" r="O224"/>
      <c s="42" r="P224">
        <f>IF((O224&gt;0),N224,0)</f>
        <v>0</v>
      </c>
      <c s="42" r="Q224"/>
    </row>
    <row r="225">
      <c t="s" s="42" r="A225">
        <v>21</v>
      </c>
      <c s="42" r="B225">
        <v>224</v>
      </c>
      <c s="21" r="C225">
        <v>44</v>
      </c>
      <c t="s" s="21" r="D225">
        <v>97</v>
      </c>
      <c t="s" s="42" r="E225">
        <v>22</v>
      </c>
      <c t="s" s="42" r="F225">
        <v>22</v>
      </c>
      <c t="str" s="30" r="G225">
        <f>HYPERLINK("http://sofifa.com/en/14w/p/n/7","Bel")</f>
        <v>Bel</v>
      </c>
      <c t="str" s="30" r="H225">
        <f>HYPERLINK("http://sofifa.com/en/14w/p/150594-adnan-januzaj","A. Januzaj")</f>
        <v>A. Januzaj</v>
      </c>
      <c s="21" r="I225">
        <v>68</v>
      </c>
      <c t="s" s="21" r="J225">
        <v>84</v>
      </c>
      <c t="s" s="21" r="K225">
        <v>79</v>
      </c>
      <c s="21" r="L225">
        <v>18</v>
      </c>
      <c s="42" r="M225">
        <v>1.9</v>
      </c>
      <c s="42" r="N225">
        <v>0.005</v>
      </c>
      <c s="42" r="O225"/>
      <c s="42" r="P225">
        <f>IF((O225&gt;0),N225,0)</f>
        <v>0</v>
      </c>
      <c s="42" r="Q225"/>
    </row>
    <row r="226">
      <c t="s" s="42" r="A226">
        <v>21</v>
      </c>
      <c s="42" r="B226">
        <v>225</v>
      </c>
      <c s="21" r="C226">
        <v>38</v>
      </c>
      <c t="s" s="21" r="D226">
        <v>97</v>
      </c>
      <c t="s" s="42" r="E226">
        <v>22</v>
      </c>
      <c t="s" s="42" r="F226">
        <v>22</v>
      </c>
      <c t="str" s="30" r="G226">
        <f>HYPERLINK("http://sofifa.com/en/14w/p/n/14","Eng")</f>
        <v>Eng</v>
      </c>
      <c t="str" s="30" r="H226">
        <f>HYPERLINK("http://sofifa.com/en/14w/p/149839-michael-keane","M. Keane")</f>
        <v>M. Keane</v>
      </c>
      <c s="21" r="I226">
        <v>65</v>
      </c>
      <c t="s" s="21" r="J226">
        <v>75</v>
      </c>
      <c t="s" s="21" r="K226">
        <v>99</v>
      </c>
      <c s="21" r="L226">
        <v>20</v>
      </c>
      <c s="42" r="M226">
        <v>1.1</v>
      </c>
      <c s="42" r="N226">
        <v>0.004</v>
      </c>
      <c s="42" r="O226"/>
      <c s="42" r="P226">
        <f>IF((O226&gt;0),N226,0)</f>
        <v>0</v>
      </c>
      <c s="42" r="Q226"/>
    </row>
    <row r="227">
      <c t="s" s="42" r="A227">
        <v>21</v>
      </c>
      <c s="42" r="B227">
        <v>226</v>
      </c>
      <c s="21" r="C227">
        <v>34</v>
      </c>
      <c t="s" s="21" r="D227">
        <v>97</v>
      </c>
      <c t="s" s="42" r="E227">
        <v>22</v>
      </c>
      <c t="s" s="42" r="F227">
        <v>22</v>
      </c>
      <c t="str" s="30" r="G227">
        <f>HYPERLINK("http://sofifa.com/en/14w/p/n/14","Eng")</f>
        <v>Eng</v>
      </c>
      <c t="str" s="30" r="H227">
        <f>HYPERLINK("http://sofifa.com/en/14w/p/149896-larnell-cole","L. Cole")</f>
        <v>L. Cole</v>
      </c>
      <c s="21" r="I227">
        <v>60</v>
      </c>
      <c t="s" s="21" r="J227">
        <v>88</v>
      </c>
      <c t="s" s="21" r="K227">
        <v>86</v>
      </c>
      <c s="21" r="L227">
        <v>20</v>
      </c>
      <c s="42" r="M227">
        <v>0.6</v>
      </c>
      <c s="42" r="N227">
        <v>0.003</v>
      </c>
      <c s="42" r="O227"/>
      <c s="42" r="P227">
        <f>IF((O227&gt;0),N227,0)</f>
        <v>0</v>
      </c>
      <c s="42" r="Q227"/>
    </row>
    <row r="228">
      <c t="s" s="42" r="A228">
        <v>21</v>
      </c>
      <c s="42" r="B228">
        <v>227</v>
      </c>
      <c s="21" r="C228">
        <v>48</v>
      </c>
      <c t="s" s="21" r="D228">
        <v>97</v>
      </c>
      <c t="s" s="42" r="E228">
        <v>22</v>
      </c>
      <c t="s" s="42" r="F228">
        <v>22</v>
      </c>
      <c t="str" s="30" r="G228">
        <f>HYPERLINK("http://sofifa.com/en/14w/p/n/14","Eng")</f>
        <v>Eng</v>
      </c>
      <c t="str" s="30" r="H228">
        <f>HYPERLINK("http://sofifa.com/en/14w/p/149839-will-keane","W. Keane")</f>
        <v>W. Keane</v>
      </c>
      <c s="21" r="I228">
        <v>59</v>
      </c>
      <c t="s" s="21" r="J228">
        <v>90</v>
      </c>
      <c t="s" s="21" r="K228">
        <v>99</v>
      </c>
      <c s="21" r="L228">
        <v>20</v>
      </c>
      <c s="42" r="M228">
        <v>0.5</v>
      </c>
      <c s="42" r="N228">
        <v>0.002</v>
      </c>
      <c s="42" r="O228"/>
      <c s="42" r="P228">
        <f>IF((O228&gt;0),N228,0)</f>
        <v>0</v>
      </c>
      <c s="42" r="Q228"/>
    </row>
    <row r="229">
      <c t="s" s="42" r="A229">
        <v>21</v>
      </c>
      <c s="42" r="B229">
        <v>228</v>
      </c>
      <c s="21" r="C229">
        <v>29</v>
      </c>
      <c t="s" s="21" r="D229">
        <v>97</v>
      </c>
      <c t="s" s="42" r="E229">
        <v>22</v>
      </c>
      <c t="s" s="42" r="F229">
        <v>22</v>
      </c>
      <c t="str" s="30" r="G229">
        <f>HYPERLINK("http://sofifa.com/en/14w/p/n/14","Eng")</f>
        <v>Eng</v>
      </c>
      <c t="str" s="30" r="H229">
        <f>HYPERLINK("http://sofifa.com/en/14w/p/149777-wilfried-zaha","W. Zaha")</f>
        <v>W. Zaha</v>
      </c>
      <c s="21" r="I229">
        <v>74</v>
      </c>
      <c t="s" s="21" r="J229">
        <v>85</v>
      </c>
      <c t="s" s="21" r="K229">
        <v>79</v>
      </c>
      <c s="21" r="L229">
        <v>20</v>
      </c>
      <c s="42" r="M229">
        <v>4.1</v>
      </c>
      <c s="42" r="N229">
        <v>0.009</v>
      </c>
      <c s="42" r="O229"/>
      <c s="42" r="P229">
        <f>IF((O229&gt;0),N229,0)</f>
        <v>0</v>
      </c>
      <c s="42" r="Q229"/>
    </row>
    <row r="230">
      <c t="s" s="42" r="A230">
        <v>21</v>
      </c>
      <c s="42" r="B230">
        <v>229</v>
      </c>
      <c s="21" r="C230">
        <v>22</v>
      </c>
      <c t="s" s="21" r="D230">
        <v>97</v>
      </c>
      <c t="s" s="42" r="E230">
        <v>22</v>
      </c>
      <c t="s" s="42" r="F230">
        <v>22</v>
      </c>
      <c t="str" s="30" r="G230">
        <f>HYPERLINK("http://sofifa.com/en/14w/p/n/54","Bra")</f>
        <v>Bra</v>
      </c>
      <c t="str" s="30" r="H230">
        <f>HYPERLINK("http://sofifa.com/en/14w/p/148922-fabio-pereira-da-silva","Fábio")</f>
        <v>Fábio</v>
      </c>
      <c s="21" r="I230">
        <v>75</v>
      </c>
      <c t="s" s="21" r="J230">
        <v>78</v>
      </c>
      <c t="s" s="21" r="K230">
        <v>86</v>
      </c>
      <c s="21" r="L230">
        <v>22</v>
      </c>
      <c s="42" r="M230">
        <v>4.2</v>
      </c>
      <c s="42" r="N230">
        <v>0.012</v>
      </c>
      <c s="42" r="O230"/>
      <c s="42" r="P230">
        <f>IF((O230&gt;0),N230,0)</f>
        <v>0</v>
      </c>
      <c s="42" r="Q230"/>
    </row>
    <row r="231">
      <c t="s" s="42" r="A231">
        <v>21</v>
      </c>
      <c s="42" r="B231">
        <v>230</v>
      </c>
      <c s="21" r="C231">
        <v>8</v>
      </c>
      <c t="s" s="21" r="D231">
        <v>97</v>
      </c>
      <c t="s" s="42" r="E231">
        <v>22</v>
      </c>
      <c t="s" s="42" r="F231">
        <v>22</v>
      </c>
      <c t="str" s="30" r="G231">
        <f>HYPERLINK("http://sofifa.com/en/14w/p/n/54","Bra")</f>
        <v>Bra</v>
      </c>
      <c t="str" s="30" r="H231">
        <f>HYPERLINK("http://sofifa.com/en/14w/p/148105-anderson-luis-de-abreu-oliveira","Anderson")</f>
        <v>Anderson</v>
      </c>
      <c s="21" r="I231">
        <v>77</v>
      </c>
      <c t="s" s="21" r="J231">
        <v>81</v>
      </c>
      <c t="s" s="21" r="K231">
        <v>94</v>
      </c>
      <c s="21" r="L231">
        <v>25</v>
      </c>
      <c s="42" r="M231">
        <v>5.7</v>
      </c>
      <c s="42" r="N231">
        <v>0.017</v>
      </c>
      <c s="42" r="O231"/>
      <c s="42" r="P231">
        <f>IF((O231&gt;0),N231,0)</f>
        <v>0</v>
      </c>
      <c s="42" r="Q231"/>
    </row>
    <row r="232">
      <c t="s" s="42" r="A232">
        <v>21</v>
      </c>
      <c s="42" r="B232">
        <v>231</v>
      </c>
      <c s="21" r="C232">
        <v>30</v>
      </c>
      <c t="s" s="21" r="D232">
        <v>97</v>
      </c>
      <c t="s" s="42" r="E232">
        <v>22</v>
      </c>
      <c t="s" s="42" r="F232">
        <v>22</v>
      </c>
      <c t="str" s="30" r="G232">
        <f>HYPERLINK("http://sofifa.com/en/14w/p/n/60","Uru")</f>
        <v>Uru</v>
      </c>
      <c t="str" s="30" r="H232">
        <f>HYPERLINK("http://sofifa.com/en/14w/p/149911-guillermo-varela","G. Varela")</f>
        <v>G. Varela</v>
      </c>
      <c s="21" r="I232">
        <v>60</v>
      </c>
      <c t="s" s="21" r="J232">
        <v>72</v>
      </c>
      <c t="s" s="21" r="K232">
        <v>106</v>
      </c>
      <c s="21" r="L232">
        <v>20</v>
      </c>
      <c s="42" r="M232">
        <v>0.5</v>
      </c>
      <c s="42" r="N232">
        <v>0.003</v>
      </c>
      <c s="42" r="O232"/>
      <c s="42" r="P232">
        <f>IF((O232&gt;0),N232,0)</f>
        <v>0</v>
      </c>
      <c s="42" r="Q232"/>
    </row>
    <row r="233">
      <c t="s" s="42" r="A233">
        <v>27</v>
      </c>
      <c s="42" r="B233">
        <v>232</v>
      </c>
      <c s="21" r="C233">
        <v>1</v>
      </c>
      <c t="s" s="21" r="D233">
        <v>70</v>
      </c>
      <c t="s" s="42" r="E233">
        <v>28</v>
      </c>
      <c t="s" s="42" r="F233">
        <v>28</v>
      </c>
      <c t="str" s="30" r="G233">
        <f>HYPERLINK("http://sofifa.com/en/14w/p/n/34","Net")</f>
        <v>Net</v>
      </c>
      <c t="str" s="30" r="H233">
        <f>HYPERLINK("http://sofifa.com/en/14w/p/148095-tim-krul","T. Krul")</f>
        <v>T. Krul</v>
      </c>
      <c s="21" r="I233">
        <v>79</v>
      </c>
      <c t="s" s="21" r="J233">
        <v>70</v>
      </c>
      <c t="s" s="21" r="K233">
        <v>91</v>
      </c>
      <c s="21" r="L233">
        <v>25</v>
      </c>
      <c s="42" r="M233">
        <v>6.1</v>
      </c>
      <c s="42" r="N233">
        <v>0.022</v>
      </c>
      <c s="42" r="O233"/>
      <c s="42" r="P233">
        <f>IF((O233&gt;0),N233,0)</f>
        <v>0</v>
      </c>
      <c s="42" r="Q233"/>
    </row>
    <row r="234">
      <c t="s" s="42" r="A234">
        <v>27</v>
      </c>
      <c s="42" r="B234">
        <v>233</v>
      </c>
      <c s="21" r="C234">
        <v>26</v>
      </c>
      <c t="s" s="21" r="D234">
        <v>72</v>
      </c>
      <c t="s" s="42" r="E234">
        <v>28</v>
      </c>
      <c t="s" s="42" r="F234">
        <v>28</v>
      </c>
      <c t="str" s="30" r="G234">
        <f>HYPERLINK("http://sofifa.com/en/14w/p/n/18","Fra")</f>
        <v>Fra</v>
      </c>
      <c t="str" s="30" r="H234">
        <f>HYPERLINK("http://sofifa.com/en/14w/p/147115-mathieu-debuchy","M. Debuchy")</f>
        <v>M. Debuchy</v>
      </c>
      <c s="21" r="I234">
        <v>78</v>
      </c>
      <c t="s" s="21" r="J234">
        <v>72</v>
      </c>
      <c t="s" s="21" r="K234">
        <v>94</v>
      </c>
      <c s="21" r="L234">
        <v>27</v>
      </c>
      <c s="42" r="M234">
        <v>5.9</v>
      </c>
      <c s="42" r="N234">
        <v>0.019</v>
      </c>
      <c s="42" r="O234"/>
      <c s="42" r="P234">
        <f>IF((O234&gt;0),N234,0)</f>
        <v>0</v>
      </c>
      <c s="42" r="Q234"/>
    </row>
    <row r="235">
      <c t="s" s="42" r="A235">
        <v>27</v>
      </c>
      <c s="42" r="B235">
        <v>234</v>
      </c>
      <c s="21" r="C235">
        <v>6</v>
      </c>
      <c t="s" s="21" r="D235">
        <v>74</v>
      </c>
      <c t="s" s="42" r="E235">
        <v>28</v>
      </c>
      <c t="s" s="42" r="F235">
        <v>28</v>
      </c>
      <c t="str" s="30" r="G235">
        <f>HYPERLINK("http://sofifa.com/en/14w/p/n/14","Eng")</f>
        <v>Eng</v>
      </c>
      <c t="str" s="30" r="H235">
        <f>HYPERLINK("http://sofifa.com/en/14w/p/146487-mike-williamson","M. Williamson")</f>
        <v>M. Williamson</v>
      </c>
      <c s="21" r="I235">
        <v>73</v>
      </c>
      <c t="s" s="21" r="J235">
        <v>75</v>
      </c>
      <c t="s" s="21" r="K235">
        <v>91</v>
      </c>
      <c s="21" r="L235">
        <v>29</v>
      </c>
      <c s="42" r="M235">
        <v>2.7</v>
      </c>
      <c s="42" r="N235">
        <v>0.011</v>
      </c>
      <c s="42" r="O235"/>
      <c s="42" r="P235">
        <f>IF((O235&gt;0),N235,0)</f>
        <v>0</v>
      </c>
      <c s="42" r="Q235"/>
    </row>
    <row r="236">
      <c t="s" s="42" r="A236">
        <v>27</v>
      </c>
      <c s="42" r="B236">
        <v>235</v>
      </c>
      <c s="21" r="C236">
        <v>2</v>
      </c>
      <c t="s" s="21" r="D236">
        <v>77</v>
      </c>
      <c t="s" s="42" r="E236">
        <v>28</v>
      </c>
      <c t="s" s="42" r="F236">
        <v>28</v>
      </c>
      <c t="str" s="30" r="G236">
        <f>HYPERLINK("http://sofifa.com/en/14w/p/n/52","Arg")</f>
        <v>Arg</v>
      </c>
      <c t="str" s="30" r="H236">
        <f>HYPERLINK("http://sofifa.com/en/14w/p/145832-fabricio-coloccini","F. Coloccini")</f>
        <v>F. Coloccini</v>
      </c>
      <c s="21" r="I236">
        <v>80</v>
      </c>
      <c t="s" s="21" r="J236">
        <v>75</v>
      </c>
      <c t="s" s="21" r="K236">
        <v>89</v>
      </c>
      <c s="21" r="L236">
        <v>31</v>
      </c>
      <c s="42" r="M236">
        <v>7.6</v>
      </c>
      <c s="42" r="N236">
        <v>0.035</v>
      </c>
      <c s="42" r="O236"/>
      <c s="42" r="P236">
        <f>IF((O236&gt;0),N236,0)</f>
        <v>0</v>
      </c>
      <c s="42" r="Q236"/>
    </row>
    <row r="237">
      <c t="s" s="42" r="A237">
        <v>27</v>
      </c>
      <c s="42" r="B237">
        <v>236</v>
      </c>
      <c s="21" r="C237">
        <v>3</v>
      </c>
      <c t="s" s="21" r="D237">
        <v>78</v>
      </c>
      <c t="s" s="42" r="E237">
        <v>28</v>
      </c>
      <c t="s" s="42" r="F237">
        <v>28</v>
      </c>
      <c t="str" s="30" r="G237">
        <f>HYPERLINK("http://sofifa.com/en/14w/p/n/27","Ita")</f>
        <v>Ita</v>
      </c>
      <c t="str" s="30" r="H237">
        <f>HYPERLINK("http://sofifa.com/en/14w/p/149099-davide-santon","D. Santon")</f>
        <v>D. Santon</v>
      </c>
      <c s="21" r="I237">
        <v>75</v>
      </c>
      <c t="s" s="21" r="J237">
        <v>78</v>
      </c>
      <c t="s" s="21" r="K237">
        <v>99</v>
      </c>
      <c s="21" r="L237">
        <v>22</v>
      </c>
      <c s="42" r="M237">
        <v>4.2</v>
      </c>
      <c s="42" r="N237">
        <v>0.012</v>
      </c>
      <c s="42" r="O237"/>
      <c s="42" r="P237">
        <f>IF((O237&gt;0),N237,0)</f>
        <v>0</v>
      </c>
      <c s="42" r="Q237"/>
    </row>
    <row r="238">
      <c t="s" s="42" r="A238">
        <v>27</v>
      </c>
      <c s="42" r="B238">
        <v>237</v>
      </c>
      <c s="21" r="C238">
        <v>7</v>
      </c>
      <c t="s" s="21" r="D238">
        <v>80</v>
      </c>
      <c t="s" s="42" r="E238">
        <v>28</v>
      </c>
      <c t="s" s="42" r="F238">
        <v>28</v>
      </c>
      <c t="str" s="30" r="G238">
        <f>HYPERLINK("http://sofifa.com/en/14w/p/n/18","Fra")</f>
        <v>Fra</v>
      </c>
      <c t="str" s="30" r="H238">
        <f>HYPERLINK("http://sofifa.com/en/14w/p/148595-moussa-sissoko","M. Sissoko")</f>
        <v>M. Sissoko</v>
      </c>
      <c s="21" r="I238">
        <v>75</v>
      </c>
      <c t="s" s="21" r="J238">
        <v>81</v>
      </c>
      <c t="s" s="21" r="K238">
        <v>99</v>
      </c>
      <c s="21" r="L238">
        <v>23</v>
      </c>
      <c s="42" r="M238">
        <v>4.9</v>
      </c>
      <c s="42" r="N238">
        <v>0.012</v>
      </c>
      <c s="42" r="O238"/>
      <c s="42" r="P238">
        <f>IF((O238&gt;0),N238,0)</f>
        <v>0</v>
      </c>
      <c s="42" r="Q238"/>
    </row>
    <row r="239">
      <c t="s" s="42" r="A239">
        <v>27</v>
      </c>
      <c s="42" r="B239">
        <v>238</v>
      </c>
      <c s="21" r="C239">
        <v>8</v>
      </c>
      <c t="s" s="21" r="D239">
        <v>83</v>
      </c>
      <c t="s" s="42" r="E239">
        <v>28</v>
      </c>
      <c t="s" s="42" r="F239">
        <v>28</v>
      </c>
      <c t="str" s="30" r="G239">
        <f>HYPERLINK("http://sofifa.com/en/14w/p/n/34","Net")</f>
        <v>Net</v>
      </c>
      <c t="str" s="30" r="H239">
        <f>HYPERLINK("http://sofifa.com/en/14w/p/148461-vurnon-anita","V. Anita")</f>
        <v>V. Anita</v>
      </c>
      <c s="21" r="I239">
        <v>74</v>
      </c>
      <c t="s" s="21" r="J239">
        <v>98</v>
      </c>
      <c t="s" s="21" r="K239">
        <v>93</v>
      </c>
      <c s="21" r="L239">
        <v>24</v>
      </c>
      <c s="42" r="M239">
        <v>3.2</v>
      </c>
      <c s="42" r="N239">
        <v>0.011</v>
      </c>
      <c s="42" r="O239"/>
      <c s="42" r="P239">
        <f>IF((O239&gt;0),N239,0)</f>
        <v>0</v>
      </c>
      <c s="42" r="Q239"/>
    </row>
    <row r="240">
      <c t="s" s="42" r="A240">
        <v>27</v>
      </c>
      <c s="42" r="B240">
        <v>239</v>
      </c>
      <c s="21" r="C240">
        <v>4</v>
      </c>
      <c t="s" s="21" r="D240">
        <v>81</v>
      </c>
      <c t="s" s="42" r="E240">
        <v>28</v>
      </c>
      <c t="s" s="42" r="F240">
        <v>28</v>
      </c>
      <c t="str" s="30" r="G240">
        <f>HYPERLINK("http://sofifa.com/en/14w/p/n/18","Fra")</f>
        <v>Fra</v>
      </c>
      <c t="str" s="30" r="H240">
        <f>HYPERLINK("http://sofifa.com/en/14w/p/147285-yohan-cabaye","Y. Cabaye")</f>
        <v>Y. Cabaye</v>
      </c>
      <c s="21" r="I240">
        <v>82</v>
      </c>
      <c t="s" s="21" r="J240">
        <v>81</v>
      </c>
      <c t="s" s="21" r="K240">
        <v>94</v>
      </c>
      <c s="21" r="L240">
        <v>27</v>
      </c>
      <c s="42" r="M240">
        <v>13</v>
      </c>
      <c s="42" r="N240">
        <v>0.053</v>
      </c>
      <c s="42" r="O240"/>
      <c s="42" r="P240">
        <f>IF((O240&gt;0),N240,0)</f>
        <v>0</v>
      </c>
      <c s="42" r="Q240"/>
    </row>
    <row r="241">
      <c t="s" s="42" r="A241">
        <v>27</v>
      </c>
      <c s="42" r="B241">
        <v>240</v>
      </c>
      <c s="21" r="C241">
        <v>11</v>
      </c>
      <c t="s" s="21" r="D241">
        <v>85</v>
      </c>
      <c t="s" s="42" r="E241">
        <v>28</v>
      </c>
      <c t="s" s="42" r="F241">
        <v>28</v>
      </c>
      <c t="str" s="30" r="G241">
        <f>HYPERLINK("http://sofifa.com/en/14w/p/n/18","Fra")</f>
        <v>Fra</v>
      </c>
      <c t="str" s="30" r="H241">
        <f>HYPERLINK("http://sofifa.com/en/14w/p/147416-yoan-gouffran","Y. Gouffran")</f>
        <v>Y. Gouffran</v>
      </c>
      <c s="21" r="I241">
        <v>77</v>
      </c>
      <c t="s" s="21" r="J241">
        <v>90</v>
      </c>
      <c t="s" s="21" r="K241">
        <v>94</v>
      </c>
      <c s="21" r="L241">
        <v>27</v>
      </c>
      <c s="42" r="M241">
        <v>6.6</v>
      </c>
      <c s="42" r="N241">
        <v>0.017</v>
      </c>
      <c s="42" r="O241"/>
      <c s="42" r="P241">
        <f>IF((O241&gt;0),N241,0)</f>
        <v>0</v>
      </c>
      <c s="42" r="Q241"/>
    </row>
    <row r="242">
      <c t="s" s="42" r="A242">
        <v>27</v>
      </c>
      <c s="42" r="B242">
        <v>241</v>
      </c>
      <c s="21" r="C242">
        <v>14</v>
      </c>
      <c t="s" s="21" r="D242">
        <v>90</v>
      </c>
      <c t="s" s="42" r="E242">
        <v>28</v>
      </c>
      <c t="s" s="42" r="F242">
        <v>28</v>
      </c>
      <c t="str" s="30" r="G242">
        <f>HYPERLINK("http://sofifa.com/en/14w/p/n/18","Fra")</f>
        <v>Fra</v>
      </c>
      <c t="str" s="30" r="H242">
        <f>HYPERLINK("http://sofifa.com/en/14w/p/147638-loic-remy","L. Rémy")</f>
        <v>L. Rémy</v>
      </c>
      <c s="21" r="I242">
        <v>79</v>
      </c>
      <c t="s" s="21" r="J242">
        <v>90</v>
      </c>
      <c t="s" s="21" r="K242">
        <v>89</v>
      </c>
      <c s="21" r="L242">
        <v>26</v>
      </c>
      <c s="42" r="M242">
        <v>9.2</v>
      </c>
      <c s="42" r="N242">
        <v>0.022</v>
      </c>
      <c s="42" r="O242"/>
      <c s="42" r="P242">
        <f>IF((O242&gt;0),N242,0)</f>
        <v>0</v>
      </c>
      <c s="42" r="Q242"/>
    </row>
    <row r="243">
      <c t="s" s="42" r="A243">
        <v>27</v>
      </c>
      <c s="42" r="B243">
        <v>242</v>
      </c>
      <c s="21" r="C243">
        <v>10</v>
      </c>
      <c t="s" s="21" r="D243">
        <v>96</v>
      </c>
      <c t="s" s="42" r="E243">
        <v>28</v>
      </c>
      <c t="s" s="42" r="F243">
        <v>28</v>
      </c>
      <c t="str" s="30" r="G243">
        <f>HYPERLINK("http://sofifa.com/en/14w/p/n/18","Fra")</f>
        <v>Fra</v>
      </c>
      <c t="str" s="30" r="H243">
        <f>HYPERLINK("http://sofifa.com/en/14w/p/147702-hatem-ben-arfa","H. Ben Arfa")</f>
        <v>H. Ben Arfa</v>
      </c>
      <c s="21" r="I243">
        <v>80</v>
      </c>
      <c t="s" s="21" r="J243">
        <v>84</v>
      </c>
      <c t="s" s="21" r="K243">
        <v>82</v>
      </c>
      <c s="21" r="L243">
        <v>26</v>
      </c>
      <c s="42" r="M243">
        <v>10.5</v>
      </c>
      <c s="42" r="N243">
        <v>0.03</v>
      </c>
      <c s="42" r="O243"/>
      <c s="42" r="P243">
        <f>IF((O243&gt;0),N243,0)</f>
        <v>0</v>
      </c>
      <c s="42" r="Q243"/>
    </row>
    <row r="244">
      <c t="s" s="42" r="A244">
        <v>27</v>
      </c>
      <c s="42" r="B244">
        <v>243</v>
      </c>
      <c s="21" r="C244">
        <v>29</v>
      </c>
      <c t="s" s="21" r="D244">
        <v>92</v>
      </c>
      <c t="s" s="42" r="E244">
        <v>28</v>
      </c>
      <c t="s" s="42" r="F244">
        <v>28</v>
      </c>
      <c t="str" s="30" r="G244">
        <f>HYPERLINK("http://sofifa.com/en/14w/p/n/44","Slo")</f>
        <v>Slo</v>
      </c>
      <c t="str" s="30" r="H244">
        <f>HYPERLINK("http://sofifa.com/en/14w/p/149696-haris-vuckic","H. Vučkić")</f>
        <v>H. Vučkić</v>
      </c>
      <c s="21" r="I244">
        <v>67</v>
      </c>
      <c t="s" s="21" r="J244">
        <v>88</v>
      </c>
      <c t="s" s="21" r="K244">
        <v>73</v>
      </c>
      <c s="21" r="L244">
        <v>20</v>
      </c>
      <c s="42" r="M244">
        <v>1.7</v>
      </c>
      <c s="42" r="N244">
        <v>0.005</v>
      </c>
      <c s="42" r="O244"/>
      <c s="42" r="P244">
        <f>IF((O244&gt;0),N244,0)</f>
        <v>0</v>
      </c>
      <c s="42" r="Q244"/>
    </row>
    <row r="245">
      <c t="s" s="42" r="A245">
        <v>27</v>
      </c>
      <c s="42" r="B245">
        <v>244</v>
      </c>
      <c s="21" r="C245">
        <v>28</v>
      </c>
      <c t="s" s="21" r="D245">
        <v>92</v>
      </c>
      <c t="s" s="42" r="E245">
        <v>28</v>
      </c>
      <c t="s" s="42" r="F245">
        <v>28</v>
      </c>
      <c t="str" s="30" r="G245">
        <f>HYPERLINK("http://sofifa.com/en/14w/p/n/14","Eng")</f>
        <v>Eng</v>
      </c>
      <c t="str" s="30" r="H245">
        <f>HYPERLINK("http://sofifa.com/en/14w/p/149584-sammy-ameobi","S. Ameobi")</f>
        <v>S. Ameobi</v>
      </c>
      <c s="21" r="I245">
        <v>68</v>
      </c>
      <c t="s" s="21" r="J245">
        <v>87</v>
      </c>
      <c t="s" s="21" r="K245">
        <v>91</v>
      </c>
      <c s="21" r="L245">
        <v>21</v>
      </c>
      <c s="42" r="M245">
        <v>1.8</v>
      </c>
      <c s="42" r="N245">
        <v>0.005</v>
      </c>
      <c s="42" r="O245"/>
      <c s="42" r="P245">
        <f>IF((O245&gt;0),N245,0)</f>
        <v>0</v>
      </c>
      <c s="42" r="Q245"/>
    </row>
    <row r="246">
      <c t="s" s="42" r="A246">
        <v>27</v>
      </c>
      <c s="42" r="B246">
        <v>245</v>
      </c>
      <c s="21" r="C246">
        <v>36</v>
      </c>
      <c t="s" s="21" r="D246">
        <v>92</v>
      </c>
      <c t="s" s="42" r="E246">
        <v>28</v>
      </c>
      <c t="s" s="42" r="F246">
        <v>28</v>
      </c>
      <c t="str" s="30" r="G246">
        <f>HYPERLINK("http://sofifa.com/en/14w/p/n/50","Wal")</f>
        <v>Wal</v>
      </c>
      <c t="str" s="30" r="H246">
        <f>HYPERLINK("http://sofifa.com/en/14w/p/149366-paul-dummett","P. Dummett")</f>
        <v>P. Dummett</v>
      </c>
      <c s="21" r="I246">
        <v>63</v>
      </c>
      <c t="s" s="21" r="J246">
        <v>78</v>
      </c>
      <c t="s" s="21" r="K246">
        <v>89</v>
      </c>
      <c s="21" r="L246">
        <v>21</v>
      </c>
      <c s="42" r="M246">
        <v>0.8</v>
      </c>
      <c s="42" r="N246">
        <v>0.004</v>
      </c>
      <c s="42" r="O246"/>
      <c s="42" r="P246">
        <f>IF((O246&gt;0),N246,0)</f>
        <v>0</v>
      </c>
      <c s="42" r="Q246"/>
    </row>
    <row r="247">
      <c t="s" s="42" r="A247">
        <v>27</v>
      </c>
      <c s="42" r="B247">
        <v>246</v>
      </c>
      <c s="21" r="C247">
        <v>13</v>
      </c>
      <c t="s" s="21" r="D247">
        <v>92</v>
      </c>
      <c t="s" s="42" r="E247">
        <v>28</v>
      </c>
      <c t="s" s="42" r="F247">
        <v>28</v>
      </c>
      <c t="str" s="30" r="G247">
        <f>HYPERLINK("http://sofifa.com/en/14w/p/n/18","Fra")</f>
        <v>Fra</v>
      </c>
      <c t="str" s="30" r="H247">
        <f>HYPERLINK("http://sofifa.com/en/14w/p/148502-mapou-yanga-mbiwa","M. Yanga-M'Biwa")</f>
        <v>M. Yanga-M'Biwa</v>
      </c>
      <c s="21" r="I247">
        <v>77</v>
      </c>
      <c t="s" s="21" r="J247">
        <v>75</v>
      </c>
      <c t="s" s="21" r="K247">
        <v>89</v>
      </c>
      <c s="21" r="L247">
        <v>24</v>
      </c>
      <c s="42" r="M247">
        <v>5.7</v>
      </c>
      <c s="42" r="N247">
        <v>0.017</v>
      </c>
      <c s="42" r="O247"/>
      <c s="42" r="P247">
        <f>IF((O247&gt;0),N247,0)</f>
        <v>0</v>
      </c>
      <c s="42" r="Q247"/>
    </row>
    <row r="248">
      <c t="s" s="42" r="A248">
        <v>27</v>
      </c>
      <c s="42" r="B248">
        <v>247</v>
      </c>
      <c s="21" r="C248">
        <v>16</v>
      </c>
      <c t="s" s="21" r="D248">
        <v>92</v>
      </c>
      <c t="s" s="42" r="E248">
        <v>28</v>
      </c>
      <c t="s" s="42" r="F248">
        <v>28</v>
      </c>
      <c t="str" s="30" r="G248">
        <f>HYPERLINK("http://sofifa.com/en/14w/p/n/14","Eng")</f>
        <v>Eng</v>
      </c>
      <c t="str" s="30" r="H248">
        <f>HYPERLINK("http://sofifa.com/en/14w/p/146772-ryan-taylor","R. Taylor")</f>
        <v>R. Taylor</v>
      </c>
      <c s="21" r="I248">
        <v>73</v>
      </c>
      <c t="s" s="21" r="J248">
        <v>72</v>
      </c>
      <c t="s" s="21" r="K248">
        <v>82</v>
      </c>
      <c s="21" r="L248">
        <v>28</v>
      </c>
      <c s="42" r="M248">
        <v>2.8</v>
      </c>
      <c s="42" r="N248">
        <v>0.01</v>
      </c>
      <c s="42" r="O248"/>
      <c s="42" r="P248">
        <f>IF((O248&gt;0),N248,0)</f>
        <v>0</v>
      </c>
      <c s="42" r="Q248"/>
    </row>
    <row r="249">
      <c t="s" s="42" r="A249">
        <v>27</v>
      </c>
      <c s="42" r="B249">
        <v>248</v>
      </c>
      <c s="21" r="C249">
        <v>25</v>
      </c>
      <c t="s" s="21" r="D249">
        <v>92</v>
      </c>
      <c t="s" s="42" r="E249">
        <v>28</v>
      </c>
      <c t="s" s="42" r="F249">
        <v>28</v>
      </c>
      <c t="str" s="30" r="G249">
        <f>HYPERLINK("http://sofifa.com/en/14w/p/n/18","Fra")</f>
        <v>Fra</v>
      </c>
      <c t="str" s="30" r="H249">
        <f>HYPERLINK("http://sofifa.com/en/14w/p/148424-gabriel-obertan","G. Obertan")</f>
        <v>G. Obertan</v>
      </c>
      <c s="21" r="I249">
        <v>68</v>
      </c>
      <c t="s" s="21" r="J249">
        <v>84</v>
      </c>
      <c t="s" s="21" r="K249">
        <v>73</v>
      </c>
      <c s="21" r="L249">
        <v>24</v>
      </c>
      <c s="42" r="M249">
        <v>1.6</v>
      </c>
      <c s="42" r="N249">
        <v>0.006</v>
      </c>
      <c s="42" r="O249"/>
      <c s="42" r="P249">
        <f>IF((O249&gt;0),N249,0)</f>
        <v>0</v>
      </c>
      <c s="42" r="Q249"/>
    </row>
    <row r="250">
      <c t="s" s="42" r="A250">
        <v>27</v>
      </c>
      <c s="42" r="B250">
        <v>249</v>
      </c>
      <c s="21" r="C250">
        <v>22</v>
      </c>
      <c t="s" s="21" r="D250">
        <v>92</v>
      </c>
      <c t="s" s="42" r="E250">
        <v>28</v>
      </c>
      <c t="s" s="42" r="F250">
        <v>28</v>
      </c>
      <c t="str" s="30" r="G250">
        <f>HYPERLINK("http://sofifa.com/en/14w/p/n/18","Fra")</f>
        <v>Fra</v>
      </c>
      <c t="str" s="30" r="H250">
        <f>HYPERLINK("http://sofifa.com/en/14w/p/147376-sylvain-marveaux","S. Marveaux")</f>
        <v>S. Marveaux</v>
      </c>
      <c s="21" r="I250">
        <v>75</v>
      </c>
      <c t="s" s="21" r="J250">
        <v>96</v>
      </c>
      <c t="s" s="21" r="K250">
        <v>86</v>
      </c>
      <c s="21" r="L250">
        <v>27</v>
      </c>
      <c s="42" r="M250">
        <v>4.4</v>
      </c>
      <c s="42" r="N250">
        <v>0.013</v>
      </c>
      <c s="42" r="O250"/>
      <c s="42" r="P250">
        <f>IF((O250&gt;0),N250,0)</f>
        <v>0</v>
      </c>
      <c s="42" r="Q250"/>
    </row>
    <row r="251">
      <c t="s" s="42" r="A251">
        <v>27</v>
      </c>
      <c s="42" r="B251">
        <v>250</v>
      </c>
      <c s="21" r="C251">
        <v>27</v>
      </c>
      <c t="s" s="21" r="D251">
        <v>92</v>
      </c>
      <c t="s" s="42" r="E251">
        <v>28</v>
      </c>
      <c t="s" s="42" r="F251">
        <v>28</v>
      </c>
      <c t="str" s="30" r="G251">
        <f>HYPERLINK("http://sofifa.com/en/14w/p/n/14","Eng")</f>
        <v>Eng</v>
      </c>
      <c t="str" s="30" r="H251">
        <f>HYPERLINK("http://sofifa.com/en/14w/p/147294-steven-taylor","S. Taylor")</f>
        <v>S. Taylor</v>
      </c>
      <c s="21" r="I251">
        <v>76</v>
      </c>
      <c t="s" s="21" r="J251">
        <v>75</v>
      </c>
      <c t="s" s="21" r="K251">
        <v>73</v>
      </c>
      <c s="21" r="L251">
        <v>27</v>
      </c>
      <c s="42" r="M251">
        <v>4.7</v>
      </c>
      <c s="42" r="N251">
        <v>0.015</v>
      </c>
      <c s="8" r="O251"/>
      <c s="42" r="P251">
        <f>IF((O251&gt;0),N251,0)</f>
        <v>0</v>
      </c>
      <c s="42" r="Q251"/>
    </row>
    <row r="252">
      <c t="s" s="42" r="A252">
        <v>27</v>
      </c>
      <c s="42" r="B252">
        <v>251</v>
      </c>
      <c s="21" r="C252">
        <v>21</v>
      </c>
      <c t="s" s="21" r="D252">
        <v>92</v>
      </c>
      <c t="s" s="42" r="E252">
        <v>28</v>
      </c>
      <c t="s" s="42" r="F252">
        <v>28</v>
      </c>
      <c t="str" s="30" r="G252">
        <f>HYPERLINK("http://sofifa.com/en/14w/p/n/14","Eng")</f>
        <v>Eng</v>
      </c>
      <c t="str" s="30" r="H252">
        <f>HYPERLINK("http://sofifa.com/en/14w/p/147391-rob-elliot","R. Elliot")</f>
        <v>R. Elliot</v>
      </c>
      <c s="21" r="I252">
        <v>68</v>
      </c>
      <c t="s" s="21" r="J252">
        <v>70</v>
      </c>
      <c t="s" s="21" r="K252">
        <v>99</v>
      </c>
      <c s="21" r="L252">
        <v>27</v>
      </c>
      <c s="42" r="M252">
        <v>1.2</v>
      </c>
      <c s="42" r="N252">
        <v>0.006</v>
      </c>
      <c s="42" r="O252"/>
      <c s="42" r="P252">
        <f>IF((O252&gt;0),N252,0)</f>
        <v>0</v>
      </c>
      <c s="42" r="Q252"/>
    </row>
    <row r="253">
      <c t="s" s="42" r="A253">
        <v>27</v>
      </c>
      <c s="42" r="B253">
        <v>252</v>
      </c>
      <c s="21" r="C253">
        <v>24</v>
      </c>
      <c t="s" s="21" r="D253">
        <v>92</v>
      </c>
      <c t="s" s="42" r="E253">
        <v>28</v>
      </c>
      <c t="s" s="42" r="F253">
        <v>28</v>
      </c>
      <c t="str" s="30" r="G253">
        <f>HYPERLINK("http://sofifa.com/en/14w/p/n/108","Ivo")</f>
        <v>Ivo</v>
      </c>
      <c t="str" s="30" r="H253">
        <f>HYPERLINK("http://sofifa.com/en/14w/p/147443-cheick-tiote","C. Tioté")</f>
        <v>C. Tioté</v>
      </c>
      <c s="21" r="I253">
        <v>78</v>
      </c>
      <c t="s" s="21" r="J253">
        <v>98</v>
      </c>
      <c t="s" s="21" r="K253">
        <v>79</v>
      </c>
      <c s="21" r="L253">
        <v>27</v>
      </c>
      <c s="42" r="M253">
        <v>5.9</v>
      </c>
      <c s="42" r="N253">
        <v>0.019</v>
      </c>
      <c s="42" r="O253"/>
      <c s="42" r="P253">
        <f>IF((O253&gt;0),N253,0)</f>
        <v>0</v>
      </c>
      <c s="42" r="Q253"/>
    </row>
    <row r="254">
      <c t="s" s="42" r="A254">
        <v>27</v>
      </c>
      <c s="42" r="B254">
        <v>253</v>
      </c>
      <c s="21" r="C254">
        <v>9</v>
      </c>
      <c t="s" s="21" r="D254">
        <v>92</v>
      </c>
      <c t="s" s="42" r="E254">
        <v>28</v>
      </c>
      <c t="s" s="42" r="F254">
        <v>28</v>
      </c>
      <c t="str" s="30" r="G254">
        <f>HYPERLINK("http://sofifa.com/en/14w/p/n/136","Sen")</f>
        <v>Sen</v>
      </c>
      <c t="str" s="30" r="H254">
        <f>HYPERLINK("http://sofifa.com/en/14w/p/147060-papiss-demba-cisse","P. Cissé")</f>
        <v>P. Cissé</v>
      </c>
      <c s="21" r="I254">
        <v>79</v>
      </c>
      <c t="s" s="21" r="J254">
        <v>90</v>
      </c>
      <c t="s" s="21" r="K254">
        <v>89</v>
      </c>
      <c s="21" r="L254">
        <v>28</v>
      </c>
      <c s="42" r="M254">
        <v>8.2</v>
      </c>
      <c s="42" r="N254">
        <v>0.023</v>
      </c>
      <c s="42" r="O254"/>
      <c s="42" r="P254">
        <f>IF((O254&gt;0),N254,0)</f>
        <v>0</v>
      </c>
      <c s="42" r="Q254"/>
    </row>
    <row r="255">
      <c t="s" s="42" r="A255">
        <v>27</v>
      </c>
      <c s="42" r="B255">
        <v>254</v>
      </c>
      <c s="21" r="C255">
        <v>18</v>
      </c>
      <c t="s" s="21" r="D255">
        <v>92</v>
      </c>
      <c t="s" s="42" r="E255">
        <v>28</v>
      </c>
      <c t="s" s="42" r="F255">
        <v>28</v>
      </c>
      <c t="str" s="30" r="G255">
        <f>HYPERLINK("http://sofifa.com/en/14w/p/n/52","Arg")</f>
        <v>Arg</v>
      </c>
      <c t="str" s="30" r="H255">
        <f>HYPERLINK("http://sofifa.com/en/14w/p/146361-jonas-gutierrez","J. Gutiérrez")</f>
        <v>J. Gutiérrez</v>
      </c>
      <c s="21" r="I255">
        <v>75</v>
      </c>
      <c t="s" s="21" r="J255">
        <v>87</v>
      </c>
      <c t="s" s="21" r="K255">
        <v>89</v>
      </c>
      <c s="21" r="L255">
        <v>29</v>
      </c>
      <c s="42" r="M255">
        <v>4.1</v>
      </c>
      <c s="42" r="N255">
        <v>0.014</v>
      </c>
      <c s="42" r="O255"/>
      <c s="42" r="P255">
        <f>IF((O255&gt;0),N255,0)</f>
        <v>0</v>
      </c>
      <c s="42" r="Q255"/>
    </row>
    <row r="256">
      <c t="s" s="42" r="A256">
        <v>27</v>
      </c>
      <c s="42" r="B256">
        <v>255</v>
      </c>
      <c s="21" r="C256">
        <v>44</v>
      </c>
      <c t="s" s="21" r="D256">
        <v>97</v>
      </c>
      <c t="s" s="42" r="E256">
        <v>28</v>
      </c>
      <c t="s" s="42" r="F256">
        <v>28</v>
      </c>
      <c t="str" s="30" r="G256">
        <f>HYPERLINK("http://sofifa.com/en/14w/p/n/14","Eng")</f>
        <v>Eng</v>
      </c>
      <c t="str" s="30" r="H256">
        <f>HYPERLINK("http://sofifa.com/en/14w/p/150499-remie-streete","R. Streete")</f>
        <v>R. Streete</v>
      </c>
      <c s="21" r="I256">
        <v>56</v>
      </c>
      <c t="s" s="21" r="J256">
        <v>75</v>
      </c>
      <c t="s" s="21" r="K256">
        <v>99</v>
      </c>
      <c s="21" r="L256">
        <v>18</v>
      </c>
      <c s="42" r="M256">
        <v>0.1</v>
      </c>
      <c s="42" r="N256">
        <v>0.002</v>
      </c>
      <c s="42" r="O256"/>
      <c s="42" r="P256">
        <f>IF((O256&gt;0),N256,0)</f>
        <v>0</v>
      </c>
      <c s="42" r="Q256"/>
    </row>
    <row r="257">
      <c t="s" s="42" r="A257">
        <v>27</v>
      </c>
      <c s="42" r="B257">
        <v>256</v>
      </c>
      <c s="21" r="C257">
        <v>49</v>
      </c>
      <c t="s" s="21" r="D257">
        <v>97</v>
      </c>
      <c t="s" s="42" r="E257">
        <v>28</v>
      </c>
      <c t="s" s="42" r="F257">
        <v>28</v>
      </c>
      <c t="str" s="30" r="G257">
        <f>HYPERLINK("http://sofifa.com/en/14w/p/n/14","Eng")</f>
        <v>Eng</v>
      </c>
      <c t="str" s="30" r="H257">
        <f>HYPERLINK("http://sofifa.com/en/14w/p/150559-adam-campbell","A. Campbell")</f>
        <v>A. Campbell</v>
      </c>
      <c s="21" r="I257">
        <v>61</v>
      </c>
      <c t="s" s="21" r="J257">
        <v>90</v>
      </c>
      <c t="s" s="21" r="K257">
        <v>106</v>
      </c>
      <c s="21" r="L257">
        <v>18</v>
      </c>
      <c s="42" r="M257">
        <v>0.8</v>
      </c>
      <c s="42" r="N257">
        <v>0.003</v>
      </c>
      <c s="42" r="O257"/>
      <c s="42" r="P257">
        <f>IF((O257&gt;0),N257,0)</f>
        <v>0</v>
      </c>
      <c s="42" r="Q257"/>
    </row>
    <row r="258">
      <c t="s" s="42" r="A258">
        <v>27</v>
      </c>
      <c s="42" r="B258">
        <v>257</v>
      </c>
      <c s="21" r="C258">
        <v>23</v>
      </c>
      <c t="s" s="21" r="D258">
        <v>97</v>
      </c>
      <c t="s" s="42" r="E258">
        <v>54</v>
      </c>
      <c t="s" s="42" r="F258">
        <v>28</v>
      </c>
      <c t="str" s="30" r="G258">
        <f>HYPERLINK("http://sofifa.com/en/14w/p/n/133","Nig")</f>
        <v>Nig</v>
      </c>
      <c t="str" s="30" r="H258">
        <f>HYPERLINK("http://sofifa.com/en/14w/p/145730-shola-ameobi","S. Ameobi")</f>
        <v>S. Ameobi</v>
      </c>
      <c s="21" r="I258">
        <v>70</v>
      </c>
      <c t="s" s="21" r="J258">
        <v>90</v>
      </c>
      <c t="s" s="21" r="K258">
        <v>95</v>
      </c>
      <c s="21" r="L258">
        <v>31</v>
      </c>
      <c s="42" r="M258">
        <v>1.7</v>
      </c>
      <c s="42" r="N258">
        <v>0.008</v>
      </c>
      <c s="42" r="O258">
        <v>1.7</v>
      </c>
      <c s="42" r="P258">
        <f>IF((O258&gt;0),N258,0)</f>
        <v>0.008</v>
      </c>
      <c s="42" r="Q258"/>
    </row>
    <row r="259">
      <c t="s" s="42" r="A259">
        <v>27</v>
      </c>
      <c s="42" r="B259">
        <v>258</v>
      </c>
      <c s="21" r="C259">
        <v>42</v>
      </c>
      <c t="s" s="21" r="D259">
        <v>97</v>
      </c>
      <c t="s" s="42" r="E259">
        <v>28</v>
      </c>
      <c t="s" s="42" r="F259">
        <v>28</v>
      </c>
      <c t="str" s="30" r="G259">
        <f>HYPERLINK("http://sofifa.com/en/14w/p/n/14","Eng")</f>
        <v>Eng</v>
      </c>
      <c t="str" s="30" r="H259">
        <f>HYPERLINK("http://sofifa.com/en/14w/p/149996-jak-alnwick","J. Alnwick")</f>
        <v>J. Alnwick</v>
      </c>
      <c s="21" r="I259">
        <v>61</v>
      </c>
      <c t="s" s="21" r="J259">
        <v>70</v>
      </c>
      <c t="s" s="21" r="K259">
        <v>99</v>
      </c>
      <c s="21" r="L259">
        <v>20</v>
      </c>
      <c s="42" r="M259">
        <v>0.5</v>
      </c>
      <c s="42" r="N259">
        <v>0.003</v>
      </c>
      <c s="42" r="O259"/>
      <c s="42" r="P259">
        <f>IF((O259&gt;0),N259,0)</f>
        <v>0</v>
      </c>
      <c s="42" r="Q259"/>
    </row>
    <row r="260">
      <c t="s" s="42" r="A260">
        <v>27</v>
      </c>
      <c s="42" r="B260">
        <v>259</v>
      </c>
      <c s="21" r="C260">
        <v>33</v>
      </c>
      <c t="s" s="21" r="D260">
        <v>97</v>
      </c>
      <c t="s" s="42" r="E260">
        <v>28</v>
      </c>
      <c t="s" s="42" r="F260">
        <v>28</v>
      </c>
      <c t="str" s="30" r="G260">
        <f>HYPERLINK("http://sofifa.com/en/14w/p/n/195","Aus")</f>
        <v>Aus</v>
      </c>
      <c t="str" s="30" r="H260">
        <f>HYPERLINK("http://sofifa.com/en/14w/p/149910-curtis-good","C. Good")</f>
        <v>C. Good</v>
      </c>
      <c s="21" r="I260">
        <v>61</v>
      </c>
      <c t="s" s="21" r="J260">
        <v>75</v>
      </c>
      <c t="s" s="21" r="K260">
        <v>99</v>
      </c>
      <c s="21" r="L260">
        <v>20</v>
      </c>
      <c s="42" r="M260">
        <v>0.6</v>
      </c>
      <c s="42" r="N260">
        <v>0.003</v>
      </c>
      <c s="42" r="O260"/>
      <c s="42" r="P260">
        <f>IF((O260&gt;0),N260,0)</f>
        <v>0</v>
      </c>
      <c s="42" r="Q260"/>
    </row>
    <row r="261">
      <c t="s" s="42" r="A261">
        <v>27</v>
      </c>
      <c s="42" r="B261">
        <v>260</v>
      </c>
      <c s="21" r="C261">
        <v>19</v>
      </c>
      <c t="s" s="21" r="D261">
        <v>97</v>
      </c>
      <c t="s" s="42" r="E261">
        <v>28</v>
      </c>
      <c t="s" s="42" r="F261">
        <v>28</v>
      </c>
      <c t="str" s="30" r="G261">
        <f>HYPERLINK("http://sofifa.com/en/14w/p/n/18","Fra")</f>
        <v>Fra</v>
      </c>
      <c t="str" s="30" r="H261">
        <f>HYPERLINK("http://sofifa.com/en/14w/p/149799-massadio-haidara","M. Haïdara")</f>
        <v>M. Haïdara</v>
      </c>
      <c s="21" r="I261">
        <v>69</v>
      </c>
      <c t="s" s="21" r="J261">
        <v>78</v>
      </c>
      <c t="s" s="21" r="K261">
        <v>82</v>
      </c>
      <c s="21" r="L261">
        <v>20</v>
      </c>
      <c s="42" r="M261">
        <v>1.8</v>
      </c>
      <c s="42" r="N261">
        <v>0.005</v>
      </c>
      <c s="42" r="O261"/>
      <c s="42" r="P261">
        <f>IF((O261&gt;0),N261,0)</f>
        <v>0</v>
      </c>
      <c s="42" r="Q261"/>
    </row>
    <row r="262">
      <c t="s" s="42" r="A262">
        <v>27</v>
      </c>
      <c s="42" r="B262">
        <v>261</v>
      </c>
      <c s="21" r="C262">
        <v>20</v>
      </c>
      <c t="s" s="21" r="D262">
        <v>97</v>
      </c>
      <c t="s" s="42" r="E262">
        <v>28</v>
      </c>
      <c t="s" s="42" r="F262">
        <v>28</v>
      </c>
      <c t="str" s="30" r="G262">
        <f>HYPERLINK("http://sofifa.com/en/14w/p/n/14","Eng")</f>
        <v>Eng</v>
      </c>
      <c t="str" s="30" r="H262">
        <f>HYPERLINK("http://sofifa.com/en/14w/p/150123-gael-bigirimana","G. Bigirimana")</f>
        <v>G. Bigirimana</v>
      </c>
      <c s="21" r="I262">
        <v>63</v>
      </c>
      <c t="s" s="21" r="J262">
        <v>81</v>
      </c>
      <c t="s" s="21" r="K262">
        <v>82</v>
      </c>
      <c s="21" r="L262">
        <v>19</v>
      </c>
      <c s="42" r="M262">
        <v>0.9</v>
      </c>
      <c s="42" r="N262">
        <v>0.003</v>
      </c>
      <c s="42" r="O262"/>
      <c s="42" r="P262">
        <f>IF((O262&gt;0),N262,0)</f>
        <v>0</v>
      </c>
      <c s="42" r="Q262"/>
    </row>
    <row r="263">
      <c t="s" s="42" r="A263">
        <v>27</v>
      </c>
      <c s="42" r="B263">
        <v>262</v>
      </c>
      <c s="21" r="C263">
        <v>34</v>
      </c>
      <c t="s" s="21" r="D263">
        <v>97</v>
      </c>
      <c t="s" s="42" r="E263">
        <v>28</v>
      </c>
      <c t="s" s="42" r="F263">
        <v>28</v>
      </c>
      <c t="str" s="30" r="G263">
        <f>HYPERLINK("http://sofifa.com/en/14w/p/n/14","Eng")</f>
        <v>Eng</v>
      </c>
      <c t="str" s="30" r="H263">
        <f>HYPERLINK("http://sofifa.com/en/14w/p/149401-james-tavernier","J. Tavernier")</f>
        <v>J. Tavernier</v>
      </c>
      <c s="21" r="I263">
        <v>62</v>
      </c>
      <c t="s" s="21" r="J263">
        <v>72</v>
      </c>
      <c t="s" s="21" r="K263">
        <v>94</v>
      </c>
      <c s="21" r="L263">
        <v>21</v>
      </c>
      <c s="42" r="M263">
        <v>0.7</v>
      </c>
      <c s="42" r="N263">
        <v>0.003</v>
      </c>
      <c s="42" r="O263"/>
      <c s="42" r="P263">
        <f>IF((O263&gt;0),N263,0)</f>
        <v>0</v>
      </c>
      <c s="42" r="Q263"/>
    </row>
    <row r="264">
      <c t="s" s="42" r="A264">
        <v>27</v>
      </c>
      <c s="42" r="B264">
        <v>263</v>
      </c>
      <c s="21" r="C264">
        <v>15</v>
      </c>
      <c t="s" s="21" r="D264">
        <v>97</v>
      </c>
      <c t="s" s="42" r="E264">
        <v>28</v>
      </c>
      <c t="s" s="42" r="F264">
        <v>28</v>
      </c>
      <c t="str" s="30" r="G264">
        <f>HYPERLINK("http://sofifa.com/en/14w/p/n/14","Eng")</f>
        <v>Eng</v>
      </c>
      <c t="str" s="30" r="H264">
        <f>HYPERLINK("http://sofifa.com/en/14w/p/148764-dan-gosling","D. Gosling")</f>
        <v>D. Gosling</v>
      </c>
      <c s="21" r="I264">
        <v>72</v>
      </c>
      <c t="s" s="21" r="J264">
        <v>81</v>
      </c>
      <c t="s" s="21" r="K264">
        <v>89</v>
      </c>
      <c s="21" r="L264">
        <v>23</v>
      </c>
      <c s="42" r="M264">
        <v>2.7</v>
      </c>
      <c s="42" r="N264">
        <v>0.008</v>
      </c>
      <c s="42" r="O264"/>
      <c s="42" r="P264">
        <f>IF((O264&gt;0),N264,0)</f>
        <v>0</v>
      </c>
      <c s="42" r="Q264"/>
    </row>
    <row r="265">
      <c t="s" s="42" r="A265">
        <v>27</v>
      </c>
      <c s="42" r="B265">
        <v>264</v>
      </c>
      <c s="21" r="C265">
        <v>52</v>
      </c>
      <c t="s" s="21" r="D265">
        <v>97</v>
      </c>
      <c t="s" s="42" r="E265">
        <v>28</v>
      </c>
      <c t="s" s="42" r="F265">
        <v>28</v>
      </c>
      <c t="str" s="30" r="G265">
        <f>HYPERLINK("http://sofifa.com/en/14w/p/n/47","Swi")</f>
        <v>Swi</v>
      </c>
      <c t="str" s="30" r="H265">
        <f>HYPERLINK("http://sofifa.com/en/14w/p/150667-kevin-mbabu","K. Mbabu")</f>
        <v>K. Mbabu</v>
      </c>
      <c s="21" r="I265">
        <v>52</v>
      </c>
      <c t="s" s="21" r="J265">
        <v>75</v>
      </c>
      <c t="s" s="21" r="K265">
        <v>89</v>
      </c>
      <c s="21" r="L265">
        <v>18</v>
      </c>
      <c s="42" r="M265">
        <v>0.1</v>
      </c>
      <c s="42" r="N265">
        <v>0.002</v>
      </c>
      <c s="42" r="O265"/>
      <c s="42" r="P265">
        <f>IF((O265&gt;0),N265,0)</f>
        <v>0</v>
      </c>
      <c s="42" r="Q265"/>
    </row>
    <row r="266">
      <c t="s" s="42" r="A266">
        <v>37</v>
      </c>
      <c s="42" r="B266">
        <v>265</v>
      </c>
      <c s="21" r="C266">
        <v>31</v>
      </c>
      <c t="s" s="21" r="D266">
        <v>70</v>
      </c>
      <c t="s" s="42" r="E266">
        <v>38</v>
      </c>
      <c t="s" s="42" r="F266">
        <v>38</v>
      </c>
      <c t="str" s="30" r="G266">
        <f>HYPERLINK("http://sofifa.com/en/14w/p/n/37","Pol")</f>
        <v>Pol</v>
      </c>
      <c t="str" s="30" r="H266">
        <f>HYPERLINK("http://sofifa.com/en/14w/p/145130-artur-boruc","A. Boruc")</f>
        <v>A. Boruc</v>
      </c>
      <c s="21" r="I266">
        <v>75</v>
      </c>
      <c t="s" s="21" r="J266">
        <v>70</v>
      </c>
      <c t="s" s="21" r="K266">
        <v>91</v>
      </c>
      <c s="21" r="L266">
        <v>33</v>
      </c>
      <c s="42" r="M266">
        <v>2.4</v>
      </c>
      <c s="42" r="N266">
        <v>0.016</v>
      </c>
      <c s="42" r="O266"/>
      <c s="42" r="P266">
        <f>IF((O266&gt;0),N266,0)</f>
        <v>0</v>
      </c>
      <c s="42" r="Q266"/>
    </row>
    <row r="267">
      <c t="s" s="42" r="A267">
        <v>37</v>
      </c>
      <c s="42" r="B267">
        <v>266</v>
      </c>
      <c s="21" r="C267">
        <v>2</v>
      </c>
      <c t="s" s="21" r="D267">
        <v>72</v>
      </c>
      <c t="s" s="42" r="E267">
        <v>38</v>
      </c>
      <c t="s" s="42" r="F267">
        <v>38</v>
      </c>
      <c t="str" s="30" r="G267">
        <f>HYPERLINK("http://sofifa.com/en/14w/p/n/14","Eng")</f>
        <v>Eng</v>
      </c>
      <c t="str" s="30" r="H267">
        <f>HYPERLINK("http://sofifa.com/en/14w/p/149192-nathaniel-clyne","N. Clyne")</f>
        <v>N. Clyne</v>
      </c>
      <c s="21" r="I267">
        <v>73</v>
      </c>
      <c t="s" s="21" r="J267">
        <v>72</v>
      </c>
      <c t="s" s="21" r="K267">
        <v>94</v>
      </c>
      <c s="21" r="L267">
        <v>22</v>
      </c>
      <c s="42" r="M267">
        <v>3</v>
      </c>
      <c s="42" r="N267">
        <v>0.009</v>
      </c>
      <c s="42" r="O267"/>
      <c s="42" r="P267">
        <f>IF((O267&gt;0),N267,0)</f>
        <v>0</v>
      </c>
      <c s="42" r="Q267"/>
    </row>
    <row r="268">
      <c t="s" s="42" r="A268">
        <v>37</v>
      </c>
      <c s="42" r="B268">
        <v>267</v>
      </c>
      <c s="21" r="C268">
        <v>6</v>
      </c>
      <c t="s" s="21" r="D268">
        <v>74</v>
      </c>
      <c t="s" s="42" r="E268">
        <v>38</v>
      </c>
      <c t="s" s="42" r="F268">
        <v>38</v>
      </c>
      <c t="str" s="30" r="G268">
        <f>HYPERLINK("http://sofifa.com/en/14w/p/n/38","Por")</f>
        <v>Por</v>
      </c>
      <c t="str" s="30" r="H268">
        <f>HYPERLINK("http://sofifa.com/en/14w/p/146531-jose-miguel-da-rocha-fonte","José Fonte")</f>
        <v>José Fonte</v>
      </c>
      <c s="21" r="I268">
        <v>74</v>
      </c>
      <c t="s" s="21" r="J268">
        <v>75</v>
      </c>
      <c t="s" s="21" r="K268">
        <v>99</v>
      </c>
      <c s="21" r="L268">
        <v>29</v>
      </c>
      <c s="42" r="M268">
        <v>3</v>
      </c>
      <c s="42" r="N268">
        <v>0.012</v>
      </c>
      <c s="42" r="O268"/>
      <c s="42" r="P268">
        <f>IF((O268&gt;0),N268,0)</f>
        <v>0</v>
      </c>
      <c s="42" r="Q268"/>
    </row>
    <row r="269">
      <c t="s" s="42" r="A269">
        <v>37</v>
      </c>
      <c s="42" r="B269">
        <v>268</v>
      </c>
      <c s="21" r="C269">
        <v>5</v>
      </c>
      <c t="s" s="21" r="D269">
        <v>77</v>
      </c>
      <c t="s" s="42" r="E269">
        <v>38</v>
      </c>
      <c t="s" s="42" r="F269">
        <v>38</v>
      </c>
      <c t="str" s="30" r="G269">
        <f>HYPERLINK("http://sofifa.com/en/14w/p/n/10","Cro")</f>
        <v>Cro</v>
      </c>
      <c t="str" s="30" r="H269">
        <f>HYPERLINK("http://sofifa.com/en/14w/p/148553-dejan-lovren","D. Lovren")</f>
        <v>D. Lovren</v>
      </c>
      <c s="21" r="I269">
        <v>78</v>
      </c>
      <c t="s" s="21" r="J269">
        <v>75</v>
      </c>
      <c t="s" s="21" r="K269">
        <v>99</v>
      </c>
      <c s="21" r="L269">
        <v>23</v>
      </c>
      <c s="42" r="M269">
        <v>7.1</v>
      </c>
      <c s="42" r="N269">
        <v>0.018</v>
      </c>
      <c s="42" r="O269"/>
      <c s="42" r="P269">
        <f>IF((O269&gt;0),N269,0)</f>
        <v>0</v>
      </c>
      <c s="42" r="Q269"/>
    </row>
    <row r="270">
      <c t="s" s="42" r="A270">
        <v>37</v>
      </c>
      <c s="42" r="B270">
        <v>269</v>
      </c>
      <c s="21" r="C270">
        <v>23</v>
      </c>
      <c t="s" s="21" r="D270">
        <v>78</v>
      </c>
      <c t="s" s="42" r="E270">
        <v>38</v>
      </c>
      <c t="s" s="42" r="F270">
        <v>38</v>
      </c>
      <c t="str" s="30" r="G270">
        <f>HYPERLINK("http://sofifa.com/en/14w/p/n/14","Eng")</f>
        <v>Eng</v>
      </c>
      <c t="str" s="30" r="H270">
        <f>HYPERLINK("http://sofifa.com/en/14w/p/150751-luke-shaw","L. Shaw")</f>
        <v>L. Shaw</v>
      </c>
      <c s="21" r="I270">
        <v>72</v>
      </c>
      <c t="s" s="21" r="J270">
        <v>78</v>
      </c>
      <c t="s" s="21" r="K270">
        <v>73</v>
      </c>
      <c s="21" r="L270">
        <v>17</v>
      </c>
      <c s="42" r="M270">
        <v>2.9</v>
      </c>
      <c s="42" r="N270">
        <v>0.006</v>
      </c>
      <c s="42" r="O270"/>
      <c s="42" r="P270">
        <f>IF((O270&gt;0),N270,0)</f>
        <v>0</v>
      </c>
      <c s="42" r="Q270"/>
    </row>
    <row r="271">
      <c t="s" s="42" r="A271">
        <v>37</v>
      </c>
      <c s="42" r="B271">
        <v>270</v>
      </c>
      <c s="21" r="C271">
        <v>12</v>
      </c>
      <c t="s" s="21" r="D271">
        <v>80</v>
      </c>
      <c t="s" s="42" r="E271">
        <v>38</v>
      </c>
      <c t="s" s="42" r="F271">
        <v>38</v>
      </c>
      <c t="str" s="30" r="G271">
        <f>HYPERLINK("http://sofifa.com/en/14w/p/n/120","Ken")</f>
        <v>Ken</v>
      </c>
      <c t="str" s="30" r="H271">
        <f>HYPERLINK("http://sofifa.com/en/14w/p/149273-victor-wanyama","V. Wanyama")</f>
        <v>V. Wanyama</v>
      </c>
      <c s="21" r="I271">
        <v>74</v>
      </c>
      <c t="s" s="21" r="J271">
        <v>81</v>
      </c>
      <c t="s" s="21" r="K271">
        <v>99</v>
      </c>
      <c s="21" r="L271">
        <v>22</v>
      </c>
      <c s="42" r="M271">
        <v>3.6</v>
      </c>
      <c s="42" r="N271">
        <v>0.01</v>
      </c>
      <c s="42" r="O271"/>
      <c s="42" r="P271">
        <f>IF((O271&gt;0),N271,0)</f>
        <v>0</v>
      </c>
      <c s="42" r="Q271"/>
    </row>
    <row r="272">
      <c t="s" s="42" r="A272">
        <v>37</v>
      </c>
      <c s="42" r="B272">
        <v>271</v>
      </c>
      <c s="21" r="C272">
        <v>4</v>
      </c>
      <c t="s" s="21" r="D272">
        <v>83</v>
      </c>
      <c t="s" s="42" r="E272">
        <v>38</v>
      </c>
      <c t="s" s="42" r="F272">
        <v>38</v>
      </c>
      <c t="str" s="30" r="G272">
        <f>HYPERLINK("http://sofifa.com/en/14w/p/n/18","Fra")</f>
        <v>Fra</v>
      </c>
      <c t="str" s="30" r="H272">
        <f>HYPERLINK("http://sofifa.com/en/14w/p/148679-morgan-schneiderlin","M. Schneiderlin")</f>
        <v>M. Schneiderlin</v>
      </c>
      <c s="21" r="I272">
        <v>77</v>
      </c>
      <c t="s" s="21" r="J272">
        <v>98</v>
      </c>
      <c t="s" s="21" r="K272">
        <v>79</v>
      </c>
      <c s="21" r="L272">
        <v>23</v>
      </c>
      <c s="42" r="M272">
        <v>5.6</v>
      </c>
      <c s="42" r="N272">
        <v>0.016</v>
      </c>
      <c s="42" r="O272"/>
      <c s="42" r="P272">
        <f>IF((O272&gt;0),N272,0)</f>
        <v>0</v>
      </c>
      <c s="42" r="Q272"/>
    </row>
    <row r="273">
      <c t="s" s="42" r="A273">
        <v>37</v>
      </c>
      <c s="42" r="B273">
        <v>272</v>
      </c>
      <c s="21" r="C273">
        <v>20</v>
      </c>
      <c t="s" s="21" r="D273">
        <v>84</v>
      </c>
      <c t="s" s="42" r="E273">
        <v>38</v>
      </c>
      <c t="s" s="42" r="F273">
        <v>38</v>
      </c>
      <c t="str" s="30" r="G273">
        <f>HYPERLINK("http://sofifa.com/en/14w/p/n/14","Eng")</f>
        <v>Eng</v>
      </c>
      <c t="str" s="30" r="H273">
        <f>HYPERLINK("http://sofifa.com/en/14w/p/148132-adam-lallana","A. Lallana")</f>
        <v>A. Lallana</v>
      </c>
      <c s="21" r="I273">
        <v>77</v>
      </c>
      <c t="s" s="21" r="J273">
        <v>87</v>
      </c>
      <c t="s" s="21" r="K273">
        <v>86</v>
      </c>
      <c s="21" r="L273">
        <v>25</v>
      </c>
      <c s="42" r="M273">
        <v>6</v>
      </c>
      <c s="42" r="N273">
        <v>0.017</v>
      </c>
      <c s="42" r="O273"/>
      <c s="42" r="P273">
        <f>IF((O273&gt;0),N273,0)</f>
        <v>0</v>
      </c>
      <c s="42" r="Q273"/>
    </row>
    <row r="274">
      <c t="s" s="42" r="A274">
        <v>37</v>
      </c>
      <c s="42" r="B274">
        <v>273</v>
      </c>
      <c s="21" r="C274">
        <v>8</v>
      </c>
      <c t="s" s="21" r="D274">
        <v>87</v>
      </c>
      <c t="s" s="42" r="E274">
        <v>38</v>
      </c>
      <c t="s" s="42" r="F274">
        <v>38</v>
      </c>
      <c t="str" s="30" r="G274">
        <f>HYPERLINK("http://sofifa.com/en/14w/p/n/35","Nor")</f>
        <v>Nor</v>
      </c>
      <c t="str" s="30" r="H274">
        <f>HYPERLINK("http://sofifa.com/en/14w/p/146907-steven-davis","S. Davis")</f>
        <v>S. Davis</v>
      </c>
      <c s="21" r="I274">
        <v>73</v>
      </c>
      <c t="s" s="21" r="J274">
        <v>81</v>
      </c>
      <c t="s" s="21" r="K274">
        <v>86</v>
      </c>
      <c s="21" r="L274">
        <v>28</v>
      </c>
      <c s="42" r="M274">
        <v>2.8</v>
      </c>
      <c s="42" r="N274">
        <v>0.01</v>
      </c>
      <c s="42" r="O274"/>
      <c s="42" r="P274">
        <f>IF((O274&gt;0),N274,0)</f>
        <v>0</v>
      </c>
      <c s="42" r="Q274"/>
    </row>
    <row r="275">
      <c t="s" s="42" r="A275">
        <v>37</v>
      </c>
      <c s="42" r="B275">
        <v>274</v>
      </c>
      <c s="21" r="C275">
        <v>7</v>
      </c>
      <c t="s" s="21" r="D275">
        <v>104</v>
      </c>
      <c t="s" s="42" r="E275">
        <v>38</v>
      </c>
      <c t="s" s="42" r="F275">
        <v>38</v>
      </c>
      <c t="str" s="30" r="G275">
        <f>HYPERLINK("http://sofifa.com/en/14w/p/n/14","Eng")</f>
        <v>Eng</v>
      </c>
      <c t="str" s="30" r="H275">
        <f>HYPERLINK("http://sofifa.com/en/14w/p/145857-rickie-lambert","R. Lambert")</f>
        <v>R. Lambert</v>
      </c>
      <c s="21" r="I275">
        <v>76</v>
      </c>
      <c t="s" s="21" r="J275">
        <v>90</v>
      </c>
      <c t="s" s="21" r="K275">
        <v>99</v>
      </c>
      <c s="21" r="L275">
        <v>31</v>
      </c>
      <c s="42" r="M275">
        <v>4.7</v>
      </c>
      <c s="42" r="N275">
        <v>0.017</v>
      </c>
      <c s="42" r="O275"/>
      <c s="42" r="P275">
        <f>IF((O275&gt;0),N275,0)</f>
        <v>0</v>
      </c>
      <c s="42" r="Q275"/>
    </row>
    <row r="276">
      <c t="s" s="42" r="A276">
        <v>37</v>
      </c>
      <c s="42" r="B276">
        <v>275</v>
      </c>
      <c s="21" r="C276">
        <v>17</v>
      </c>
      <c t="s" s="21" r="D276">
        <v>105</v>
      </c>
      <c t="s" s="42" r="E276">
        <v>38</v>
      </c>
      <c t="s" s="42" r="F276">
        <v>38</v>
      </c>
      <c t="str" s="30" r="G276">
        <f>HYPERLINK("http://sofifa.com/en/14w/p/n/27","Ita")</f>
        <v>Ita</v>
      </c>
      <c t="str" s="30" r="H276">
        <f>HYPERLINK("http://sofifa.com/en/14w/p/147283-pablo-daniel-osvaldo","P. Osvaldo")</f>
        <v>P. Osvaldo</v>
      </c>
      <c s="21" r="I276">
        <v>80</v>
      </c>
      <c t="s" s="21" r="J276">
        <v>90</v>
      </c>
      <c t="s" s="21" r="K276">
        <v>89</v>
      </c>
      <c s="21" r="L276">
        <v>27</v>
      </c>
      <c s="42" r="M276">
        <v>11.8</v>
      </c>
      <c s="42" r="N276">
        <v>0.03</v>
      </c>
      <c s="42" r="O276"/>
      <c s="42" r="P276">
        <f>IF((O276&gt;0),N276,0)</f>
        <v>0</v>
      </c>
      <c s="42" r="Q276"/>
    </row>
    <row r="277">
      <c t="s" s="42" r="A277">
        <v>37</v>
      </c>
      <c s="42" r="B277">
        <v>276</v>
      </c>
      <c s="21" r="C277">
        <v>9</v>
      </c>
      <c t="s" s="21" r="D277">
        <v>92</v>
      </c>
      <c t="s" s="42" r="E277">
        <v>38</v>
      </c>
      <c t="s" s="42" r="F277">
        <v>38</v>
      </c>
      <c t="str" s="30" r="G277">
        <f>HYPERLINK("http://sofifa.com/en/14w/p/n/14","Eng")</f>
        <v>Eng</v>
      </c>
      <c t="str" s="30" r="H277">
        <f>HYPERLINK("http://sofifa.com/en/14w/p/148577-jay-rodriguez","J. Rodriguez")</f>
        <v>J. Rodriguez</v>
      </c>
      <c s="21" r="I277">
        <v>70</v>
      </c>
      <c t="s" s="21" r="J277">
        <v>87</v>
      </c>
      <c t="s" s="21" r="K277">
        <v>73</v>
      </c>
      <c s="21" r="L277">
        <v>23</v>
      </c>
      <c s="42" r="M277">
        <v>2</v>
      </c>
      <c s="42" r="N277">
        <v>0.006</v>
      </c>
      <c s="42" r="O277"/>
      <c s="42" r="P277">
        <f>IF((O277&gt;0),N277,0)</f>
        <v>0</v>
      </c>
      <c s="42" r="Q277"/>
    </row>
    <row r="278">
      <c t="s" s="42" r="A278">
        <v>37</v>
      </c>
      <c s="42" r="B278">
        <v>277</v>
      </c>
      <c s="21" r="C278">
        <v>26</v>
      </c>
      <c t="s" s="21" r="D278">
        <v>92</v>
      </c>
      <c t="s" s="42" r="E278">
        <v>38</v>
      </c>
      <c t="s" s="42" r="F278">
        <v>38</v>
      </c>
      <c t="str" s="30" r="G278">
        <f>HYPERLINK("http://sofifa.com/en/14w/p/n/34","Net")</f>
        <v>Net</v>
      </c>
      <c t="str" s="30" r="H278">
        <f>HYPERLINK("http://sofifa.com/en/14w/p/146287-jos-hooiveld","J. Hooiveld")</f>
        <v>J. Hooiveld</v>
      </c>
      <c s="21" r="I278">
        <v>70</v>
      </c>
      <c t="s" s="21" r="J278">
        <v>75</v>
      </c>
      <c t="s" s="21" r="K278">
        <v>91</v>
      </c>
      <c s="21" r="L278">
        <v>30</v>
      </c>
      <c s="42" r="M278">
        <v>1.5</v>
      </c>
      <c s="42" r="N278">
        <v>0.008</v>
      </c>
      <c s="42" r="O278"/>
      <c s="42" r="P278">
        <f>IF((O278&gt;0),N278,0)</f>
        <v>0</v>
      </c>
      <c s="42" r="Q278"/>
    </row>
    <row r="279">
      <c t="s" s="42" r="A279">
        <v>37</v>
      </c>
      <c s="42" r="B279">
        <v>278</v>
      </c>
      <c s="21" r="C279">
        <v>16</v>
      </c>
      <c t="s" s="21" r="D279">
        <v>92</v>
      </c>
      <c t="s" s="42" r="E279">
        <v>38</v>
      </c>
      <c t="s" s="42" r="F279">
        <v>38</v>
      </c>
      <c t="str" s="30" r="G279">
        <f>HYPERLINK("http://sofifa.com/en/14w/p/n/14","Eng")</f>
        <v>Eng</v>
      </c>
      <c t="str" s="30" r="H279">
        <f>HYPERLINK("http://sofifa.com/en/14w/p/150498-james-ward-prowse","J. Ward-Prowse")</f>
        <v>J. Ward-Prowse</v>
      </c>
      <c s="21" r="I279">
        <v>72</v>
      </c>
      <c t="s" s="21" r="J279">
        <v>81</v>
      </c>
      <c t="s" s="21" r="K279">
        <v>86</v>
      </c>
      <c s="21" r="L279">
        <v>18</v>
      </c>
      <c s="42" r="M279">
        <v>3</v>
      </c>
      <c s="42" r="N279">
        <v>0.007</v>
      </c>
      <c s="42" r="O279"/>
      <c s="42" r="P279">
        <f>IF((O279&gt;0),N279,0)</f>
        <v>0</v>
      </c>
      <c s="42" r="Q279"/>
    </row>
    <row r="280">
      <c t="s" s="42" r="A280">
        <v>37</v>
      </c>
      <c s="42" r="B280">
        <v>279</v>
      </c>
      <c s="21" r="C280">
        <v>25</v>
      </c>
      <c t="s" s="21" r="D280">
        <v>92</v>
      </c>
      <c t="s" s="42" r="E280">
        <v>38</v>
      </c>
      <c t="s" s="42" r="F280">
        <v>38</v>
      </c>
      <c t="str" s="30" r="G280">
        <f>HYPERLINK("http://sofifa.com/en/14w/p/n/52","Arg")</f>
        <v>Arg</v>
      </c>
      <c t="str" s="30" r="H280">
        <f>HYPERLINK("http://sofifa.com/en/14w/p/149464-paulo-gazzaniga","P. Gazzaniga")</f>
        <v>P. Gazzaniga</v>
      </c>
      <c s="21" r="I280">
        <v>65</v>
      </c>
      <c t="s" s="21" r="J280">
        <v>70</v>
      </c>
      <c t="s" s="21" r="K280">
        <v>71</v>
      </c>
      <c s="21" r="L280">
        <v>21</v>
      </c>
      <c s="42" r="M280">
        <v>0.9</v>
      </c>
      <c s="42" r="N280">
        <v>0.004</v>
      </c>
      <c s="42" r="O280"/>
      <c s="42" r="P280">
        <f>IF((O280&gt;0),N280,0)</f>
        <v>0</v>
      </c>
      <c s="42" r="Q280"/>
    </row>
    <row r="281">
      <c t="s" s="42" r="A281">
        <v>37</v>
      </c>
      <c s="42" r="B281">
        <v>280</v>
      </c>
      <c s="21" r="C281">
        <v>10</v>
      </c>
      <c t="s" s="21" r="D281">
        <v>92</v>
      </c>
      <c t="s" s="42" r="E281">
        <v>38</v>
      </c>
      <c t="s" s="42" r="F281">
        <v>38</v>
      </c>
      <c t="str" s="30" r="G281">
        <f>HYPERLINK("http://sofifa.com/en/14w/p/n/60","Uru")</f>
        <v>Uru</v>
      </c>
      <c t="str" s="30" r="H281">
        <f>HYPERLINK("http://sofifa.com/en/14w/p/149068-gaston-ramirez","G. Ramirez")</f>
        <v>G. Ramirez</v>
      </c>
      <c s="21" r="I281">
        <v>80</v>
      </c>
      <c t="s" s="21" r="J281">
        <v>88</v>
      </c>
      <c t="s" s="21" r="K281">
        <v>89</v>
      </c>
      <c s="21" r="L281">
        <v>22</v>
      </c>
      <c s="42" r="M281">
        <v>11.8</v>
      </c>
      <c s="42" r="N281">
        <v>0.028</v>
      </c>
      <c s="42" r="O281"/>
      <c s="42" r="P281">
        <f>IF((O281&gt;0),N281,0)</f>
        <v>0</v>
      </c>
      <c s="42" r="Q281"/>
    </row>
    <row r="282">
      <c t="s" s="42" r="A282">
        <v>37</v>
      </c>
      <c s="42" r="B282">
        <v>281</v>
      </c>
      <c s="21" r="C282">
        <v>19</v>
      </c>
      <c t="s" s="21" r="D282">
        <v>92</v>
      </c>
      <c t="s" s="42" r="E282">
        <v>38</v>
      </c>
      <c t="s" s="42" r="F282">
        <v>38</v>
      </c>
      <c t="str" s="30" r="G282">
        <f>HYPERLINK("http://sofifa.com/en/14w/p/n/163","Jap")</f>
        <v>Jap</v>
      </c>
      <c t="str" s="30" r="H282">
        <f>HYPERLINK("http://sofifa.com/en/14w/p/147259-tadanari-lee","T. Lee")</f>
        <v>T. Lee</v>
      </c>
      <c s="21" r="I282">
        <v>69</v>
      </c>
      <c t="s" s="21" r="J282">
        <v>90</v>
      </c>
      <c t="s" s="21" r="K282">
        <v>89</v>
      </c>
      <c s="21" r="L282">
        <v>27</v>
      </c>
      <c s="42" r="M282">
        <v>2</v>
      </c>
      <c s="42" r="N282">
        <v>0.007</v>
      </c>
      <c s="42" r="O282"/>
      <c s="42" r="P282">
        <f>IF((O282&gt;0),N282,0)</f>
        <v>0</v>
      </c>
      <c s="42" r="Q282"/>
    </row>
    <row r="283">
      <c t="s" s="42" r="A283">
        <v>37</v>
      </c>
      <c s="42" r="B283">
        <v>282</v>
      </c>
      <c s="21" r="C283">
        <v>21</v>
      </c>
      <c t="s" s="21" r="D283">
        <v>92</v>
      </c>
      <c t="s" s="42" r="E283">
        <v>38</v>
      </c>
      <c t="s" s="42" r="F283">
        <v>38</v>
      </c>
      <c t="str" s="30" r="G283">
        <f>HYPERLINK("http://sofifa.com/en/14w/p/n/54","Bra")</f>
        <v>Bra</v>
      </c>
      <c t="str" s="30" r="H283">
        <f>HYPERLINK("http://sofifa.com/en/14w/p/145810-guilherme-do-prado-raymundo","Guly do Prado")</f>
        <v>Guly do Prado</v>
      </c>
      <c s="21" r="I283">
        <v>68</v>
      </c>
      <c t="s" s="21" r="J283">
        <v>87</v>
      </c>
      <c t="s" s="21" r="K283">
        <v>99</v>
      </c>
      <c s="21" r="L283">
        <v>31</v>
      </c>
      <c s="42" r="M283">
        <v>1.3</v>
      </c>
      <c s="42" r="N283">
        <v>0.007</v>
      </c>
      <c s="42" r="O283"/>
      <c s="42" r="P283">
        <f>IF((O283&gt;0),N283,0)</f>
        <v>0</v>
      </c>
      <c s="42" r="Q283"/>
    </row>
    <row r="284">
      <c t="s" s="42" r="A284">
        <v>37</v>
      </c>
      <c s="42" r="B284">
        <v>283</v>
      </c>
      <c s="21" r="C284">
        <v>3</v>
      </c>
      <c t="s" s="21" r="D284">
        <v>92</v>
      </c>
      <c t="s" s="42" r="E284">
        <v>38</v>
      </c>
      <c t="s" s="42" r="F284">
        <v>38</v>
      </c>
      <c t="str" s="30" r="G284">
        <f>HYPERLINK("http://sofifa.com/en/14w/p/n/163","Jap")</f>
        <v>Jap</v>
      </c>
      <c t="str" s="30" r="H284">
        <f>HYPERLINK("http://sofifa.com/en/14w/p/148238-maya-yoshida","M. Yoshida")</f>
        <v>M. Yoshida</v>
      </c>
      <c s="21" r="I284">
        <v>72</v>
      </c>
      <c t="s" s="21" r="J284">
        <v>75</v>
      </c>
      <c t="s" s="21" r="K284">
        <v>99</v>
      </c>
      <c s="21" r="L284">
        <v>24</v>
      </c>
      <c s="42" r="M284">
        <v>2.6</v>
      </c>
      <c s="42" r="N284">
        <v>0.009</v>
      </c>
      <c s="42" r="O284"/>
      <c s="42" r="P284">
        <f>IF((O284&gt;0),N284,0)</f>
        <v>0</v>
      </c>
      <c s="42" r="Q284"/>
    </row>
    <row r="285">
      <c t="s" s="42" r="A285">
        <v>37</v>
      </c>
      <c s="42" r="B285">
        <v>284</v>
      </c>
      <c s="21" r="C285">
        <v>1</v>
      </c>
      <c t="s" s="21" r="D285">
        <v>92</v>
      </c>
      <c t="s" s="42" r="E285">
        <v>38</v>
      </c>
      <c t="s" s="42" r="F285">
        <v>38</v>
      </c>
      <c t="str" s="30" r="G285">
        <f>HYPERLINK("http://sofifa.com/en/14w/p/n/14","Eng")</f>
        <v>Eng</v>
      </c>
      <c t="str" s="30" r="H285">
        <f>HYPERLINK("http://sofifa.com/en/14w/p/143891-kelvin-davis","K. Davis")</f>
        <v>K. Davis</v>
      </c>
      <c s="21" r="I285">
        <v>71</v>
      </c>
      <c t="s" s="21" r="J285">
        <v>70</v>
      </c>
      <c t="s" s="21" r="K285">
        <v>73</v>
      </c>
      <c s="21" r="L285">
        <v>36</v>
      </c>
      <c s="42" r="M285">
        <v>1</v>
      </c>
      <c s="42" r="N285">
        <v>0.01</v>
      </c>
      <c s="42" r="O285"/>
      <c s="42" r="P285">
        <f>IF((O285&gt;0),N285,0)</f>
        <v>0</v>
      </c>
      <c s="42" r="Q285"/>
    </row>
    <row r="286">
      <c t="s" s="42" r="A286">
        <v>37</v>
      </c>
      <c s="42" r="B286">
        <v>285</v>
      </c>
      <c s="21" r="C286">
        <v>13</v>
      </c>
      <c t="s" s="21" r="D286">
        <v>92</v>
      </c>
      <c t="s" s="42" r="E286">
        <v>38</v>
      </c>
      <c t="s" s="42" r="F286">
        <v>38</v>
      </c>
      <c t="str" s="30" r="G286">
        <f>HYPERLINK("http://sofifa.com/en/14w/p/n/42","Sco")</f>
        <v>Sco</v>
      </c>
      <c t="str" s="30" r="H286">
        <f>HYPERLINK("http://sofifa.com/en/14w/p/147420-daniel-fox","D. Fox")</f>
        <v>D. Fox</v>
      </c>
      <c s="21" r="I286">
        <v>69</v>
      </c>
      <c t="s" s="21" r="J286">
        <v>78</v>
      </c>
      <c t="s" s="21" r="K286">
        <v>89</v>
      </c>
      <c s="21" r="L286">
        <v>27</v>
      </c>
      <c s="42" r="M286">
        <v>1.6</v>
      </c>
      <c s="42" r="N286">
        <v>0.007</v>
      </c>
      <c s="42" r="O286"/>
      <c s="42" r="P286">
        <f>IF((O286&gt;0),N286,0)</f>
        <v>0</v>
      </c>
      <c s="42" r="Q286"/>
    </row>
    <row r="287">
      <c t="s" s="42" r="A287">
        <v>37</v>
      </c>
      <c s="42" r="B287">
        <v>286</v>
      </c>
      <c s="21" r="C287">
        <v>18</v>
      </c>
      <c t="s" s="21" r="D287">
        <v>92</v>
      </c>
      <c t="s" s="42" r="E287">
        <v>38</v>
      </c>
      <c t="s" s="42" r="F287">
        <v>38</v>
      </c>
      <c t="str" s="30" r="G287">
        <f>HYPERLINK("http://sofifa.com/en/14w/p/n/14","Eng")</f>
        <v>Eng</v>
      </c>
      <c t="str" s="30" r="H287">
        <f>HYPERLINK("http://sofifa.com/en/14w/p/148543-jack-cork","J. Cork")</f>
        <v>J. Cork</v>
      </c>
      <c s="21" r="I287">
        <v>74</v>
      </c>
      <c t="s" s="21" r="J287">
        <v>98</v>
      </c>
      <c t="s" s="21" r="K287">
        <v>73</v>
      </c>
      <c s="21" r="L287">
        <v>24</v>
      </c>
      <c s="42" r="M287">
        <v>3.2</v>
      </c>
      <c s="42" r="N287">
        <v>0.011</v>
      </c>
      <c s="42" r="O287"/>
      <c s="42" r="P287">
        <f>IF((O287&gt;0),N287,0)</f>
        <v>0</v>
      </c>
      <c s="42" r="Q287"/>
    </row>
    <row r="288">
      <c t="s" s="42" r="A288">
        <v>37</v>
      </c>
      <c s="42" r="B288">
        <v>287</v>
      </c>
      <c s="21" r="C288">
        <v>22</v>
      </c>
      <c t="s" s="21" r="D288">
        <v>92</v>
      </c>
      <c t="s" s="42" r="E288">
        <v>38</v>
      </c>
      <c t="s" s="42" r="F288">
        <v>38</v>
      </c>
      <c t="str" s="30" r="G288">
        <f>HYPERLINK("http://sofifa.com/en/14w/p/n/14","Eng")</f>
        <v>Eng</v>
      </c>
      <c t="str" s="30" r="H288">
        <f>HYPERLINK("http://sofifa.com/en/14w/p/150578-calum-chambers","C. Chambers")</f>
        <v>C. Chambers</v>
      </c>
      <c s="21" r="I288">
        <v>63</v>
      </c>
      <c t="s" s="21" r="J288">
        <v>72</v>
      </c>
      <c t="s" s="21" r="K288">
        <v>89</v>
      </c>
      <c s="21" r="L288">
        <v>18</v>
      </c>
      <c s="42" r="M288">
        <v>0.8</v>
      </c>
      <c s="42" r="N288">
        <v>0.003</v>
      </c>
      <c s="42" r="O288"/>
      <c s="42" r="P288">
        <f>IF((O288&gt;0),N288,0)</f>
        <v>0</v>
      </c>
      <c s="42" r="Q288"/>
    </row>
    <row r="289">
      <c t="s" s="42" r="A289">
        <v>37</v>
      </c>
      <c s="42" r="B289">
        <v>288</v>
      </c>
      <c s="21" r="C289">
        <v>49</v>
      </c>
      <c t="s" s="21" r="D289">
        <v>97</v>
      </c>
      <c t="s" s="42" r="E289">
        <v>38</v>
      </c>
      <c t="s" s="42" r="F289">
        <v>38</v>
      </c>
      <c t="str" s="30" r="G289">
        <f>HYPERLINK("http://sofifa.com/en/14w/p/n/14","Eng")</f>
        <v>Eng</v>
      </c>
      <c t="str" s="30" r="H289">
        <f>HYPERLINK("http://sofifa.com/en/14w/p/150445-dominic-gape","D. Gape")</f>
        <v>D. Gape</v>
      </c>
      <c s="21" r="I289">
        <v>58</v>
      </c>
      <c t="s" s="21" r="J289">
        <v>81</v>
      </c>
      <c t="s" s="21" r="K289">
        <v>79</v>
      </c>
      <c s="21" r="L289">
        <v>18</v>
      </c>
      <c s="42" r="M289">
        <v>0.3</v>
      </c>
      <c s="42" r="N289">
        <v>0.002</v>
      </c>
      <c s="42" r="O289"/>
      <c s="42" r="P289">
        <f>IF((O289&gt;0),N289,0)</f>
        <v>0</v>
      </c>
      <c s="42" r="Q289"/>
    </row>
    <row r="290">
      <c t="s" s="42" r="A290">
        <v>37</v>
      </c>
      <c s="42" r="B290">
        <v>289</v>
      </c>
      <c s="21" r="C290">
        <v>34</v>
      </c>
      <c t="s" s="21" r="D290">
        <v>97</v>
      </c>
      <c t="s" s="42" r="E290">
        <v>38</v>
      </c>
      <c t="s" s="42" r="F290">
        <v>38</v>
      </c>
      <c t="str" s="30" r="G290">
        <f>HYPERLINK("http://sofifa.com/en/14w/p/n/14","Eng")</f>
        <v>Eng</v>
      </c>
      <c t="str" s="30" r="H290">
        <f>HYPERLINK("http://sofifa.com/en/14w/p/150153-corby-moore","C. Moore")</f>
        <v>C. Moore</v>
      </c>
      <c s="21" r="I290">
        <v>57</v>
      </c>
      <c t="s" s="21" r="J290">
        <v>81</v>
      </c>
      <c t="s" s="21" r="K290">
        <v>86</v>
      </c>
      <c s="21" r="L290">
        <v>19</v>
      </c>
      <c s="42" r="M290">
        <v>0.2</v>
      </c>
      <c s="42" r="N290">
        <v>0.002</v>
      </c>
      <c s="42" r="O290"/>
      <c s="42" r="P290">
        <f>IF((O290&gt;0),N290,0)</f>
        <v>0</v>
      </c>
      <c s="42" r="Q290"/>
    </row>
    <row r="291">
      <c t="s" s="42" r="A291">
        <v>37</v>
      </c>
      <c s="42" r="B291">
        <v>290</v>
      </c>
      <c s="21" r="C291">
        <v>39</v>
      </c>
      <c t="s" s="21" r="D291">
        <v>97</v>
      </c>
      <c t="s" s="42" r="E291">
        <v>38</v>
      </c>
      <c t="s" s="42" r="F291">
        <v>38</v>
      </c>
      <c t="str" s="30" r="G291">
        <f>HYPERLINK("http://sofifa.com/en/14w/p/n/14","Eng")</f>
        <v>Eng</v>
      </c>
      <c t="str" s="30" r="H291">
        <f>HYPERLINK("http://sofifa.com/en/14w/p/150526-jake-sinclair","J. Sinclair")</f>
        <v>J. Sinclair</v>
      </c>
      <c s="21" r="I291">
        <v>57</v>
      </c>
      <c t="s" s="21" r="J291">
        <v>90</v>
      </c>
      <c t="s" s="21" r="K291">
        <v>86</v>
      </c>
      <c s="21" r="L291">
        <v>18</v>
      </c>
      <c s="42" r="M291">
        <v>0.3</v>
      </c>
      <c s="42" r="N291">
        <v>0.002</v>
      </c>
      <c s="42" r="O291"/>
      <c s="42" r="P291">
        <f>IF((O291&gt;0),N291,0)</f>
        <v>0</v>
      </c>
      <c s="42" r="Q291"/>
    </row>
    <row r="292">
      <c t="s" s="42" r="A292">
        <v>37</v>
      </c>
      <c s="42" r="B292">
        <v>291</v>
      </c>
      <c s="21" r="C292">
        <v>57</v>
      </c>
      <c t="s" s="21" r="D292">
        <v>97</v>
      </c>
      <c t="s" s="42" r="E292">
        <v>38</v>
      </c>
      <c t="s" s="42" r="F292">
        <v>38</v>
      </c>
      <c t="str" s="30" r="G292">
        <f>HYPERLINK("http://sofifa.com/en/14w/p/n/14","Eng")</f>
        <v>Eng</v>
      </c>
      <c t="str" s="30" r="H292">
        <f>HYPERLINK("http://sofifa.com/en/14w/p/150959-ryan-seager","R. Seager")</f>
        <v>R. Seager</v>
      </c>
      <c s="21" r="I292">
        <v>59</v>
      </c>
      <c t="s" s="21" r="J292">
        <v>90</v>
      </c>
      <c t="s" s="21" r="K292">
        <v>94</v>
      </c>
      <c s="21" r="L292">
        <v>17</v>
      </c>
      <c s="42" r="M292">
        <v>0.6</v>
      </c>
      <c s="42" r="N292">
        <v>0.002</v>
      </c>
      <c s="42" r="O292"/>
      <c s="42" r="P292">
        <f>IF((O292&gt;0),N292,0)</f>
        <v>0</v>
      </c>
      <c s="42" r="Q292"/>
    </row>
    <row r="293">
      <c t="s" s="42" r="A293">
        <v>37</v>
      </c>
      <c s="42" r="B293">
        <v>292</v>
      </c>
      <c s="21" r="C293">
        <v>27</v>
      </c>
      <c t="s" s="21" r="D293">
        <v>97</v>
      </c>
      <c t="s" s="42" r="E293">
        <v>38</v>
      </c>
      <c t="s" s="42" r="F293">
        <v>38</v>
      </c>
      <c t="str" s="30" r="G293">
        <f>HYPERLINK("http://sofifa.com/en/14w/p/n/50","Wal")</f>
        <v>Wal</v>
      </c>
      <c t="str" s="30" r="H293">
        <f>HYPERLINK("http://sofifa.com/en/14w/p/149840-lloyd-isgrove","L. Isgrove")</f>
        <v>L. Isgrove</v>
      </c>
      <c s="21" r="I293">
        <v>62</v>
      </c>
      <c t="s" s="21" r="J293">
        <v>84</v>
      </c>
      <c t="s" s="21" r="K293">
        <v>82</v>
      </c>
      <c s="21" r="L293">
        <v>20</v>
      </c>
      <c s="42" r="M293">
        <v>0.8</v>
      </c>
      <c s="42" r="N293">
        <v>0.003</v>
      </c>
      <c s="42" r="O293"/>
      <c s="42" r="P293">
        <f>IF((O293&gt;0),N293,0)</f>
        <v>0</v>
      </c>
      <c s="42" r="Q293"/>
    </row>
    <row r="294">
      <c t="s" s="42" r="A294">
        <v>37</v>
      </c>
      <c s="42" r="B294">
        <v>293</v>
      </c>
      <c s="21" r="C294">
        <v>35</v>
      </c>
      <c t="s" s="21" r="D294">
        <v>97</v>
      </c>
      <c t="s" s="42" r="E294">
        <v>38</v>
      </c>
      <c t="s" s="42" r="F294">
        <v>38</v>
      </c>
      <c t="str" s="30" r="G294">
        <f>HYPERLINK("http://sofifa.com/en/14w/p/n/14","Eng")</f>
        <v>Eng</v>
      </c>
      <c t="str" s="30" r="H294">
        <f>HYPERLINK("http://sofifa.com/en/14w/p/150220-jack-stephens","J. Stephens")</f>
        <v>J. Stephens</v>
      </c>
      <c s="21" r="I294">
        <v>57</v>
      </c>
      <c t="s" s="21" r="J294">
        <v>75</v>
      </c>
      <c t="s" s="21" r="K294">
        <v>73</v>
      </c>
      <c s="21" r="L294">
        <v>19</v>
      </c>
      <c s="42" r="M294">
        <v>0.2</v>
      </c>
      <c s="42" r="N294">
        <v>0.002</v>
      </c>
      <c s="42" r="O294"/>
      <c s="42" r="P294">
        <f>IF((O294&gt;0),N294,0)</f>
        <v>0</v>
      </c>
      <c s="42" r="Q294"/>
    </row>
    <row r="295">
      <c t="s" s="42" r="A295">
        <v>37</v>
      </c>
      <c s="42" r="B295">
        <v>294</v>
      </c>
      <c s="21" r="C295">
        <v>51</v>
      </c>
      <c t="s" s="21" r="D295">
        <v>97</v>
      </c>
      <c t="s" s="42" r="E295">
        <v>38</v>
      </c>
      <c t="s" s="42" r="F295">
        <v>38</v>
      </c>
      <c t="str" s="30" r="G295">
        <f>HYPERLINK("http://sofifa.com/en/14w/p/n/14","Eng")</f>
        <v>Eng</v>
      </c>
      <c t="str" s="30" r="H295">
        <f>HYPERLINK("http://sofifa.com/en/14w/p/148639-aaron-martin","A. Martin")</f>
        <v>A. Martin</v>
      </c>
      <c s="21" r="I295">
        <v>65</v>
      </c>
      <c t="s" s="21" r="J295">
        <v>75</v>
      </c>
      <c t="s" s="21" r="K295">
        <v>95</v>
      </c>
      <c s="21" r="L295">
        <v>23</v>
      </c>
      <c s="42" r="M295">
        <v>1</v>
      </c>
      <c s="42" r="N295">
        <v>0.005</v>
      </c>
      <c s="42" r="O295"/>
      <c s="42" r="P295">
        <f>IF((O295&gt;0),N295,0)</f>
        <v>0</v>
      </c>
      <c s="42" r="Q295"/>
    </row>
    <row r="296">
      <c t="s" s="42" r="A296">
        <v>37</v>
      </c>
      <c s="42" r="B296">
        <v>295</v>
      </c>
      <c s="21" r="C296">
        <v>42</v>
      </c>
      <c t="s" s="21" r="D296">
        <v>97</v>
      </c>
      <c t="s" s="42" r="E296">
        <v>38</v>
      </c>
      <c t="s" s="42" r="F296">
        <v>38</v>
      </c>
      <c t="str" s="30" r="G296">
        <f>HYPERLINK("http://sofifa.com/en/14w/p/n/14","Eng")</f>
        <v>Eng</v>
      </c>
      <c t="str" s="30" r="H296">
        <f>HYPERLINK("http://sofifa.com/en/14w/p/146740-lee-barnard","L. Barnard")</f>
        <v>L. Barnard</v>
      </c>
      <c s="21" r="I296">
        <v>64</v>
      </c>
      <c t="s" s="21" r="J296">
        <v>90</v>
      </c>
      <c t="s" s="21" r="K296">
        <v>82</v>
      </c>
      <c s="21" r="L296">
        <v>28</v>
      </c>
      <c s="42" r="M296">
        <v>1</v>
      </c>
      <c s="42" r="N296">
        <v>0.005</v>
      </c>
      <c s="42" r="O296"/>
      <c s="42" r="P296">
        <f>IF((O296&gt;0),N296,0)</f>
        <v>0</v>
      </c>
      <c s="42" r="Q296"/>
    </row>
    <row r="297">
      <c t="s" s="42" r="A297">
        <v>37</v>
      </c>
      <c s="42" r="B297">
        <v>296</v>
      </c>
      <c s="21" r="C297">
        <v>47</v>
      </c>
      <c t="s" s="21" r="D297">
        <v>97</v>
      </c>
      <c t="s" s="42" r="E297">
        <v>38</v>
      </c>
      <c t="s" s="42" r="F297">
        <v>38</v>
      </c>
      <c t="str" s="30" r="G297">
        <f>HYPERLINK("http://sofifa.com/en/14w/p/n/66","Bar")</f>
        <v>Bar</v>
      </c>
      <c t="str" s="30" r="H297">
        <f>HYPERLINK("http://sofifa.com/en/14w/p/147477-jonathan-forte","J. Forte")</f>
        <v>J. Forte</v>
      </c>
      <c s="21" r="I297">
        <v>60</v>
      </c>
      <c t="s" s="21" r="J297">
        <v>90</v>
      </c>
      <c t="s" s="21" r="K297">
        <v>89</v>
      </c>
      <c s="21" r="L297">
        <v>26</v>
      </c>
      <c s="42" r="M297">
        <v>0.6</v>
      </c>
      <c s="42" r="N297">
        <v>0.003</v>
      </c>
      <c s="42" r="O297"/>
      <c s="42" r="P297">
        <f>IF((O297&gt;0),N297,0)</f>
        <v>0</v>
      </c>
      <c s="42" r="Q297"/>
    </row>
    <row r="298">
      <c t="s" s="42" r="A298">
        <v>37</v>
      </c>
      <c s="42" r="B298">
        <v>297</v>
      </c>
      <c s="21" r="C298">
        <v>58</v>
      </c>
      <c t="s" s="21" r="D298">
        <v>97</v>
      </c>
      <c t="s" s="42" r="E298">
        <v>38</v>
      </c>
      <c t="s" s="42" r="F298">
        <v>38</v>
      </c>
      <c t="str" s="30" r="G298">
        <f>HYPERLINK("http://sofifa.com/en/14w/p/n/42","Sco")</f>
        <v>Sco</v>
      </c>
      <c t="str" s="30" r="H298">
        <f>HYPERLINK("http://sofifa.com/en/14w/p/150816-sam-gallagher","S. Gallagher")</f>
        <v>S. Gallagher</v>
      </c>
      <c s="21" r="I298">
        <v>58</v>
      </c>
      <c t="s" s="21" r="J298">
        <v>90</v>
      </c>
      <c t="s" s="21" r="K298">
        <v>91</v>
      </c>
      <c s="21" r="L298">
        <v>17</v>
      </c>
      <c s="42" r="M298">
        <v>0.4</v>
      </c>
      <c s="42" r="N298">
        <v>0.002</v>
      </c>
      <c s="42" r="O298"/>
      <c s="42" r="P298">
        <f>IF((O298&gt;0),N298,0)</f>
        <v>0</v>
      </c>
      <c s="42" r="Q298"/>
    </row>
    <row r="299">
      <c t="s" s="42" r="A299">
        <v>25</v>
      </c>
      <c s="42" r="B299">
        <v>298</v>
      </c>
      <c s="21" r="C299">
        <v>25</v>
      </c>
      <c t="s" s="21" r="D299">
        <v>70</v>
      </c>
      <c t="s" s="42" r="E299">
        <v>26</v>
      </c>
      <c t="s" s="42" r="F299">
        <v>26</v>
      </c>
      <c t="str" s="30" r="G299">
        <f>HYPERLINK("http://sofifa.com/en/14w/p/n/18","Fra")</f>
        <v>Fra</v>
      </c>
      <c t="str" s="30" r="H299">
        <f>HYPERLINK("http://sofifa.com/en/14w/p/147631-hugo-lloris","H. Lloris")</f>
        <v>H. Lloris</v>
      </c>
      <c s="21" r="I299">
        <v>84</v>
      </c>
      <c t="s" s="21" r="J299">
        <v>70</v>
      </c>
      <c t="s" s="21" r="K299">
        <v>99</v>
      </c>
      <c s="21" r="L299">
        <v>26</v>
      </c>
      <c s="42" r="M299">
        <v>14.3</v>
      </c>
      <c s="42" r="N299">
        <v>0.083</v>
      </c>
      <c s="42" r="O299"/>
      <c s="42" r="P299">
        <f>IF((O299&gt;0),N299,0)</f>
        <v>0</v>
      </c>
      <c s="42" r="Q299"/>
    </row>
    <row r="300">
      <c t="s" s="42" r="A300">
        <v>25</v>
      </c>
      <c s="42" r="B300">
        <v>299</v>
      </c>
      <c s="21" r="C300">
        <v>2</v>
      </c>
      <c t="s" s="21" r="D300">
        <v>72</v>
      </c>
      <c t="s" s="42" r="E300">
        <v>26</v>
      </c>
      <c t="s" s="42" r="F300">
        <v>26</v>
      </c>
      <c t="str" s="30" r="G300">
        <f>HYPERLINK("http://sofifa.com/en/14w/p/n/14","Eng")</f>
        <v>Eng</v>
      </c>
      <c t="str" s="30" r="H300">
        <f>HYPERLINK("http://sofifa.com/en/14w/p/148880-kyle-walker","K. Walker")</f>
        <v>K. Walker</v>
      </c>
      <c s="21" r="I300">
        <v>78</v>
      </c>
      <c t="s" s="21" r="J300">
        <v>72</v>
      </c>
      <c t="s" s="21" r="K300">
        <v>82</v>
      </c>
      <c s="21" r="L300">
        <v>23</v>
      </c>
      <c s="42" r="M300">
        <v>6.8</v>
      </c>
      <c s="42" r="N300">
        <v>0.018</v>
      </c>
      <c s="42" r="O300"/>
      <c s="42" r="P300">
        <f>IF((O300&gt;0),N300,0)</f>
        <v>0</v>
      </c>
      <c s="42" r="Q300"/>
    </row>
    <row r="301">
      <c t="s" s="42" r="A301">
        <v>25</v>
      </c>
      <c s="42" r="B301">
        <v>300</v>
      </c>
      <c s="21" r="C301">
        <v>20</v>
      </c>
      <c t="s" s="21" r="D301">
        <v>74</v>
      </c>
      <c t="s" s="42" r="E301">
        <v>26</v>
      </c>
      <c t="s" s="42" r="F301">
        <v>26</v>
      </c>
      <c t="str" s="30" r="G301">
        <f>HYPERLINK("http://sofifa.com/en/14w/p/n/14","Eng")</f>
        <v>Eng</v>
      </c>
      <c t="str" s="30" r="H301">
        <f>HYPERLINK("http://sofifa.com/en/14w/p/146497-michael-dawson","M. Dawson")</f>
        <v>M. Dawson</v>
      </c>
      <c s="21" r="I301">
        <v>79</v>
      </c>
      <c t="s" s="21" r="J301">
        <v>75</v>
      </c>
      <c t="s" s="21" r="K301">
        <v>99</v>
      </c>
      <c s="21" r="L301">
        <v>29</v>
      </c>
      <c s="42" r="M301">
        <v>6.4</v>
      </c>
      <c s="42" r="N301">
        <v>0.024</v>
      </c>
      <c s="42" r="O301"/>
      <c s="42" r="P301">
        <f>IF((O301&gt;0),N301,0)</f>
        <v>0</v>
      </c>
      <c s="42" r="Q301"/>
    </row>
    <row r="302">
      <c t="s" s="42" r="A302">
        <v>25</v>
      </c>
      <c s="42" r="B302">
        <v>301</v>
      </c>
      <c s="21" r="C302">
        <v>5</v>
      </c>
      <c t="s" s="21" r="D302">
        <v>77</v>
      </c>
      <c t="s" s="42" r="E302">
        <v>26</v>
      </c>
      <c t="s" s="42" r="F302">
        <v>26</v>
      </c>
      <c t="str" s="30" r="G302">
        <f>HYPERLINK("http://sofifa.com/en/14w/p/n/7","Bel")</f>
        <v>Bel</v>
      </c>
      <c t="str" s="30" r="H302">
        <f>HYPERLINK("http://sofifa.com/en/14w/p/147750-jan-vertonghen","J. Vertonghen")</f>
        <v>J. Vertonghen</v>
      </c>
      <c s="21" r="I302">
        <v>82</v>
      </c>
      <c t="s" s="21" r="J302">
        <v>75</v>
      </c>
      <c t="s" s="21" r="K302">
        <v>99</v>
      </c>
      <c s="21" r="L302">
        <v>26</v>
      </c>
      <c s="42" r="M302">
        <v>13.2</v>
      </c>
      <c s="42" r="N302">
        <v>0.053</v>
      </c>
      <c s="42" r="O302"/>
      <c s="42" r="P302">
        <f>IF((O302&gt;0),N302,0)</f>
        <v>0</v>
      </c>
      <c s="42" r="Q302"/>
    </row>
    <row r="303">
      <c t="s" s="42" r="A303">
        <v>25</v>
      </c>
      <c s="42" r="B303">
        <v>302</v>
      </c>
      <c s="21" r="C303">
        <v>16</v>
      </c>
      <c t="s" s="21" r="D303">
        <v>78</v>
      </c>
      <c t="s" s="42" r="E303">
        <v>26</v>
      </c>
      <c t="s" s="42" r="F303">
        <v>26</v>
      </c>
      <c t="str" s="30" r="G303">
        <f>HYPERLINK("http://sofifa.com/en/14w/p/n/14","Eng")</f>
        <v>Eng</v>
      </c>
      <c t="str" s="30" r="H303">
        <f>HYPERLINK("http://sofifa.com/en/14w/p/148317-kyle-naughton","K. Naughton")</f>
        <v>K. Naughton</v>
      </c>
      <c s="21" r="I303">
        <v>72</v>
      </c>
      <c t="s" s="21" r="J303">
        <v>78</v>
      </c>
      <c t="s" s="21" r="K303">
        <v>79</v>
      </c>
      <c s="21" r="L303">
        <v>24</v>
      </c>
      <c s="42" r="M303">
        <v>2.5</v>
      </c>
      <c s="42" r="N303">
        <v>0.009</v>
      </c>
      <c s="42" r="O303"/>
      <c s="42" r="P303">
        <f>IF((O303&gt;0),N303,0)</f>
        <v>0</v>
      </c>
      <c s="42" r="Q303"/>
    </row>
    <row r="304">
      <c t="s" s="42" r="A304">
        <v>25</v>
      </c>
      <c s="42" r="B304">
        <v>303</v>
      </c>
      <c s="21" r="C304">
        <v>8</v>
      </c>
      <c t="s" s="21" r="D304">
        <v>80</v>
      </c>
      <c t="s" s="42" r="E304">
        <v>26</v>
      </c>
      <c t="s" s="42" r="F304">
        <v>26</v>
      </c>
      <c t="str" s="30" r="G304">
        <f>HYPERLINK("http://sofifa.com/en/14w/p/n/54","Bra")</f>
        <v>Bra</v>
      </c>
      <c t="str" s="30" r="H304">
        <f>HYPERLINK("http://sofifa.com/en/14w/p/148208-jose-paulo-bezerra-m-junior","Paulinho")</f>
        <v>Paulinho</v>
      </c>
      <c s="21" r="I304">
        <v>81</v>
      </c>
      <c t="s" s="21" r="J304">
        <v>81</v>
      </c>
      <c t="s" s="21" r="K304">
        <v>79</v>
      </c>
      <c s="21" r="L304">
        <v>24</v>
      </c>
      <c s="42" r="M304">
        <v>12.2</v>
      </c>
      <c s="42" r="N304">
        <v>0.04</v>
      </c>
      <c s="42" r="O304"/>
      <c s="42" r="P304">
        <f>IF((O304&gt;0),N304,0)</f>
        <v>0</v>
      </c>
      <c s="42" r="Q304"/>
    </row>
    <row r="305">
      <c t="s" s="42" r="A305">
        <v>25</v>
      </c>
      <c s="42" r="B305">
        <v>304</v>
      </c>
      <c s="21" r="C305">
        <v>19</v>
      </c>
      <c t="s" s="21" r="D305">
        <v>83</v>
      </c>
      <c t="s" s="42" r="E305">
        <v>34</v>
      </c>
      <c t="s" s="42" r="F305">
        <v>26</v>
      </c>
      <c t="str" s="30" r="G305">
        <f>HYPERLINK("http://sofifa.com/en/14w/p/n/7","Bel")</f>
        <v>Bel</v>
      </c>
      <c t="str" s="30" r="H305">
        <f>HYPERLINK("http://sofifa.com/en/14w/p/147833-moussa-dembele","M. Dembélé")</f>
        <v>M. Dembélé</v>
      </c>
      <c s="21" r="I305">
        <v>81</v>
      </c>
      <c t="s" s="21" r="J305">
        <v>88</v>
      </c>
      <c t="s" s="21" r="K305">
        <v>73</v>
      </c>
      <c s="21" r="L305">
        <v>25</v>
      </c>
      <c s="42" r="M305">
        <v>16.9</v>
      </c>
      <c s="42" r="N305">
        <v>0.04</v>
      </c>
      <c s="42" r="O305">
        <v>16.9</v>
      </c>
      <c s="42" r="P305">
        <f>IF((O305&gt;0),N305,0)</f>
        <v>0.04</v>
      </c>
      <c s="42" r="Q305"/>
    </row>
    <row r="306">
      <c t="s" s="42" r="A306">
        <v>25</v>
      </c>
      <c s="42" r="B306">
        <v>305</v>
      </c>
      <c s="21" r="C306">
        <v>17</v>
      </c>
      <c t="s" s="21" r="D306">
        <v>84</v>
      </c>
      <c t="s" s="42" r="E306">
        <v>26</v>
      </c>
      <c t="s" s="42" r="F306">
        <v>26</v>
      </c>
      <c t="str" s="30" r="G306">
        <f>HYPERLINK("http://sofifa.com/en/14w/p/n/14","Eng")</f>
        <v>Eng</v>
      </c>
      <c t="str" s="30" r="H306">
        <f>HYPERLINK("http://sofifa.com/en/14w/p/149294-andros-townsend","A. Townsend")</f>
        <v>A. Townsend</v>
      </c>
      <c s="21" r="I306">
        <v>75</v>
      </c>
      <c t="s" s="21" r="J306">
        <v>85</v>
      </c>
      <c t="s" s="21" r="K306">
        <v>79</v>
      </c>
      <c s="21" r="L306">
        <v>21</v>
      </c>
      <c s="42" r="M306">
        <v>5</v>
      </c>
      <c s="42" r="N306">
        <v>0.011</v>
      </c>
      <c s="42" r="O306"/>
      <c s="42" r="P306">
        <f>IF((O306&gt;0),N306,0)</f>
        <v>0</v>
      </c>
      <c s="42" r="Q306"/>
    </row>
    <row r="307">
      <c t="s" s="42" r="A307">
        <v>25</v>
      </c>
      <c s="42" r="B307">
        <v>306</v>
      </c>
      <c s="21" r="C307">
        <v>22</v>
      </c>
      <c t="s" s="21" r="D307">
        <v>87</v>
      </c>
      <c t="s" s="42" r="E307">
        <v>26</v>
      </c>
      <c t="s" s="42" r="F307">
        <v>26</v>
      </c>
      <c t="str" s="30" r="G307">
        <f>HYPERLINK("http://sofifa.com/en/14w/p/n/24","Ice")</f>
        <v>Ice</v>
      </c>
      <c t="str" s="30" r="H307">
        <f>HYPERLINK("http://sofifa.com/en/14w/p/148619-gylfi-sigurdhsson","G. Sigurðsson")</f>
        <v>G. Sigurðsson</v>
      </c>
      <c s="21" r="I307">
        <v>77</v>
      </c>
      <c t="s" s="21" r="J307">
        <v>88</v>
      </c>
      <c t="s" s="21" r="K307">
        <v>73</v>
      </c>
      <c s="21" r="L307">
        <v>23</v>
      </c>
      <c s="42" r="M307">
        <v>7.2</v>
      </c>
      <c s="42" r="N307">
        <v>0.016</v>
      </c>
      <c s="42" r="O307"/>
      <c s="42" r="P307">
        <f>IF((O307&gt;0),N307,0)</f>
        <v>0</v>
      </c>
      <c s="42" r="Q307"/>
    </row>
    <row r="308">
      <c t="s" s="42" r="A308">
        <v>25</v>
      </c>
      <c s="42" r="B308">
        <v>307</v>
      </c>
      <c s="21" r="C308">
        <v>23</v>
      </c>
      <c t="s" s="21" r="D308">
        <v>88</v>
      </c>
      <c t="s" s="42" r="E308">
        <v>26</v>
      </c>
      <c t="s" s="42" r="F308">
        <v>26</v>
      </c>
      <c t="str" s="30" r="G308">
        <f>HYPERLINK("http://sofifa.com/en/14w/p/n/13","Den")</f>
        <v>Den</v>
      </c>
      <c t="str" s="30" r="H308">
        <f>HYPERLINK("http://sofifa.com/en/14w/p/149507-christian-eriksen","C. Eriksen")</f>
        <v>C. Eriksen</v>
      </c>
      <c s="21" r="I308">
        <v>82</v>
      </c>
      <c t="s" s="21" r="J308">
        <v>88</v>
      </c>
      <c t="s" s="21" r="K308">
        <v>82</v>
      </c>
      <c s="21" r="L308">
        <v>21</v>
      </c>
      <c s="42" r="M308">
        <v>17.9</v>
      </c>
      <c s="42" r="N308">
        <v>0.047</v>
      </c>
      <c s="42" r="O308"/>
      <c s="42" r="P308">
        <f>IF((O308&gt;0),N308,0)</f>
        <v>0</v>
      </c>
      <c s="42" r="Q308"/>
    </row>
    <row r="309">
      <c t="s" s="42" r="A309">
        <v>25</v>
      </c>
      <c s="42" r="B309">
        <v>308</v>
      </c>
      <c s="21" r="C309">
        <v>9</v>
      </c>
      <c t="s" s="21" r="D309">
        <v>90</v>
      </c>
      <c t="s" s="42" r="E309">
        <v>26</v>
      </c>
      <c t="s" s="42" r="F309">
        <v>26</v>
      </c>
      <c t="str" s="30" r="G309">
        <f>HYPERLINK("http://sofifa.com/en/14w/p/n/45","Spa")</f>
        <v>Spa</v>
      </c>
      <c t="str" s="30" r="H309">
        <f>HYPERLINK("http://sofifa.com/en/14w/p/147053-roberto-soldado-rillo","Soldado")</f>
        <v>Soldado</v>
      </c>
      <c s="21" r="I309">
        <v>84</v>
      </c>
      <c t="s" s="21" r="J309">
        <v>90</v>
      </c>
      <c t="s" s="21" r="K309">
        <v>82</v>
      </c>
      <c s="21" r="L309">
        <v>28</v>
      </c>
      <c s="42" r="M309">
        <v>20.7</v>
      </c>
      <c s="42" r="N309">
        <v>0.087</v>
      </c>
      <c s="42" r="O309"/>
      <c s="42" r="P309">
        <f>IF((O309&gt;0),N309,0)</f>
        <v>0</v>
      </c>
      <c s="42" r="Q309"/>
    </row>
    <row r="310">
      <c t="s" s="42" r="A310">
        <v>25</v>
      </c>
      <c s="42" r="B310">
        <v>309</v>
      </c>
      <c s="21" r="C310">
        <v>30</v>
      </c>
      <c t="s" s="21" r="D310">
        <v>92</v>
      </c>
      <c t="s" s="42" r="E310">
        <v>26</v>
      </c>
      <c t="s" s="42" r="F310">
        <v>26</v>
      </c>
      <c t="str" s="30" r="G310">
        <f>HYPERLINK("http://sofifa.com/en/14w/p/n/54","Bra")</f>
        <v>Bra</v>
      </c>
      <c t="str" s="30" r="H310">
        <f>HYPERLINK("http://sofifa.com/en/14w/p/148441-sandro-r-g-cordeiro","Sandro")</f>
        <v>Sandro</v>
      </c>
      <c s="21" r="I310">
        <v>81</v>
      </c>
      <c t="s" s="21" r="J310">
        <v>98</v>
      </c>
      <c t="s" s="21" r="K310">
        <v>99</v>
      </c>
      <c s="21" r="L310">
        <v>24</v>
      </c>
      <c s="42" r="M310">
        <v>11.1</v>
      </c>
      <c s="42" r="N310">
        <v>0.04</v>
      </c>
      <c s="42" r="O310"/>
      <c s="42" r="P310">
        <f>IF((O310&gt;0),N310,0)</f>
        <v>0</v>
      </c>
      <c s="42" r="Q310"/>
    </row>
    <row r="311">
      <c t="s" s="42" r="A311">
        <v>25</v>
      </c>
      <c s="42" r="B311">
        <v>310</v>
      </c>
      <c s="21" r="C311">
        <v>14</v>
      </c>
      <c t="s" s="21" r="D311">
        <v>92</v>
      </c>
      <c t="s" s="42" r="E311">
        <v>26</v>
      </c>
      <c t="s" s="42" r="F311">
        <v>26</v>
      </c>
      <c t="str" s="30" r="G311">
        <f>HYPERLINK("http://sofifa.com/en/14w/p/n/21","Ger")</f>
        <v>Ger</v>
      </c>
      <c t="str" s="30" r="H311">
        <f>HYPERLINK("http://sofifa.com/en/14w/p/148993-lewis-holtby","L. Holtby")</f>
        <v>L. Holtby</v>
      </c>
      <c s="21" r="I311">
        <v>79</v>
      </c>
      <c t="s" s="21" r="J311">
        <v>88</v>
      </c>
      <c t="s" s="21" r="K311">
        <v>94</v>
      </c>
      <c s="21" r="L311">
        <v>22</v>
      </c>
      <c s="42" r="M311">
        <v>9.8</v>
      </c>
      <c s="42" r="N311">
        <v>0.02</v>
      </c>
      <c s="42" r="O311"/>
      <c s="42" r="P311">
        <f>IF((O311&gt;0),N311,0)</f>
        <v>0</v>
      </c>
      <c s="42" r="Q311"/>
    </row>
    <row r="312">
      <c t="s" s="42" r="A312">
        <v>25</v>
      </c>
      <c s="42" r="B312">
        <v>311</v>
      </c>
      <c s="21" r="C312">
        <v>21</v>
      </c>
      <c t="s" s="21" r="D312">
        <v>92</v>
      </c>
      <c t="s" s="42" r="E312">
        <v>26</v>
      </c>
      <c t="s" s="42" r="F312">
        <v>26</v>
      </c>
      <c t="str" s="30" r="G312">
        <f>HYPERLINK("http://sofifa.com/en/14w/p/n/7","Bel")</f>
        <v>Bel</v>
      </c>
      <c t="str" s="30" r="H312">
        <f>HYPERLINK("http://sofifa.com/en/14w/p/148612-nacer-chadli","N. Chadli")</f>
        <v>N. Chadli</v>
      </c>
      <c s="21" r="I312">
        <v>78</v>
      </c>
      <c t="s" s="21" r="J312">
        <v>96</v>
      </c>
      <c t="s" s="21" r="K312">
        <v>99</v>
      </c>
      <c s="21" r="L312">
        <v>23</v>
      </c>
      <c s="42" r="M312">
        <v>7.4</v>
      </c>
      <c s="42" r="N312">
        <v>0.018</v>
      </c>
      <c s="42" r="O312"/>
      <c s="42" r="P312">
        <f>IF((O312&gt;0),N312,0)</f>
        <v>0</v>
      </c>
      <c s="42" r="Q312"/>
    </row>
    <row r="313">
      <c t="s" s="42" r="A313">
        <v>25</v>
      </c>
      <c s="42" r="B313">
        <v>312</v>
      </c>
      <c s="21" r="C313">
        <v>6</v>
      </c>
      <c t="s" s="21" r="D313">
        <v>92</v>
      </c>
      <c t="s" s="42" r="E313">
        <v>54</v>
      </c>
      <c t="s" s="42" r="F313">
        <v>26</v>
      </c>
      <c t="str" s="30" r="G313">
        <f>HYPERLINK("http://sofifa.com/en/14w/p/n/39","Rom")</f>
        <v>Rom</v>
      </c>
      <c t="str" s="30" r="H313">
        <f>HYPERLINK("http://sofifa.com/en/14w/p/148685-vlad-chiriches","V. Chiricheş")</f>
        <v>V. Chiricheş</v>
      </c>
      <c s="21" r="I313">
        <v>75</v>
      </c>
      <c t="s" s="21" r="J313">
        <v>75</v>
      </c>
      <c t="s" s="21" r="K313">
        <v>89</v>
      </c>
      <c s="21" r="L313">
        <v>23</v>
      </c>
      <c s="42" r="M313">
        <v>4.3</v>
      </c>
      <c s="42" r="N313">
        <v>0.012</v>
      </c>
      <c s="42" r="O313">
        <v>4.3</v>
      </c>
      <c s="42" r="P313">
        <f>IF((O313&gt;0),N313,0)</f>
        <v>0.012</v>
      </c>
      <c s="42" r="Q313"/>
    </row>
    <row r="314">
      <c t="s" s="42" r="A314">
        <v>25</v>
      </c>
      <c s="42" r="B314">
        <v>313</v>
      </c>
      <c s="21" r="C314">
        <v>24</v>
      </c>
      <c t="s" s="21" r="D314">
        <v>92</v>
      </c>
      <c t="s" s="42" r="E314">
        <v>26</v>
      </c>
      <c t="s" s="42" r="F314">
        <v>26</v>
      </c>
      <c t="str" s="30" r="G314">
        <f>HYPERLINK("http://sofifa.com/en/14w/p/n/95","Uni")</f>
        <v>Uni</v>
      </c>
      <c t="str" s="30" r="H314">
        <f>HYPERLINK("http://sofifa.com/en/14w/p/141930-brad-friedel","B. Friedel")</f>
        <v>B. Friedel</v>
      </c>
      <c s="21" r="I314">
        <v>79</v>
      </c>
      <c t="s" s="21" r="J314">
        <v>70</v>
      </c>
      <c t="s" s="21" r="K314">
        <v>99</v>
      </c>
      <c s="21" r="L314">
        <v>42</v>
      </c>
      <c s="42" r="M314">
        <v>2.1</v>
      </c>
      <c s="42" r="N314">
        <v>0.028</v>
      </c>
      <c s="42" r="O314"/>
      <c s="42" r="P314">
        <f>IF((O314&gt;0),N314,0)</f>
        <v>0</v>
      </c>
      <c s="42" r="Q314"/>
    </row>
    <row r="315">
      <c t="s" s="42" r="A315">
        <v>25</v>
      </c>
      <c s="42" r="B315">
        <v>314</v>
      </c>
      <c s="21" r="C315">
        <v>15</v>
      </c>
      <c t="s" s="21" r="D315">
        <v>92</v>
      </c>
      <c t="s" s="42" r="E315">
        <v>26</v>
      </c>
      <c t="s" s="42" r="F315">
        <v>26</v>
      </c>
      <c t="str" s="30" r="G315">
        <f>HYPERLINK("http://sofifa.com/en/14w/p/n/18","Fra")</f>
        <v>Fra</v>
      </c>
      <c t="str" s="30" r="H315">
        <f>HYPERLINK("http://sofifa.com/en/14w/p/148194-etienne-capoue","E. Capoue")</f>
        <v>E. Capoue</v>
      </c>
      <c s="21" r="I315">
        <v>79</v>
      </c>
      <c t="s" s="21" r="J315">
        <v>98</v>
      </c>
      <c t="s" s="21" r="K315">
        <v>99</v>
      </c>
      <c s="21" r="L315">
        <v>24</v>
      </c>
      <c s="42" r="M315">
        <v>6.9</v>
      </c>
      <c s="42" r="N315">
        <v>0.022</v>
      </c>
      <c s="42" r="O315"/>
      <c s="42" r="P315">
        <f>IF((O315&gt;0),N315,0)</f>
        <v>0</v>
      </c>
      <c s="42" r="Q315"/>
    </row>
    <row r="316">
      <c t="s" s="42" r="A316">
        <v>25</v>
      </c>
      <c s="42" r="B316">
        <v>315</v>
      </c>
      <c s="21" r="C316">
        <v>18</v>
      </c>
      <c t="s" s="21" r="D316">
        <v>92</v>
      </c>
      <c t="s" s="42" r="E316">
        <v>26</v>
      </c>
      <c t="s" s="42" r="F316">
        <v>26</v>
      </c>
      <c t="str" s="30" r="G316">
        <f>HYPERLINK("http://sofifa.com/en/14w/p/n/14","Eng")</f>
        <v>Eng</v>
      </c>
      <c t="str" s="30" r="H316">
        <f>HYPERLINK("http://sofifa.com/en/14w/p/146090-jermain-defoe","J. Defoe")</f>
        <v>J. Defoe</v>
      </c>
      <c s="21" r="I316">
        <v>81</v>
      </c>
      <c t="s" s="21" r="J316">
        <v>90</v>
      </c>
      <c t="s" s="21" r="K316">
        <v>106</v>
      </c>
      <c s="21" r="L316">
        <v>30</v>
      </c>
      <c s="42" r="M316">
        <v>12.5</v>
      </c>
      <c s="42" r="N316">
        <v>0.045</v>
      </c>
      <c s="42" r="O316"/>
      <c s="42" r="P316">
        <f>IF((O316&gt;0),N316,0)</f>
        <v>0</v>
      </c>
      <c s="42" r="Q316"/>
    </row>
    <row r="317">
      <c t="s" s="42" r="A317">
        <v>25</v>
      </c>
      <c s="42" r="B317">
        <v>316</v>
      </c>
      <c s="21" r="C317">
        <v>10</v>
      </c>
      <c t="s" s="21" r="D317">
        <v>92</v>
      </c>
      <c t="s" s="42" r="E317">
        <v>26</v>
      </c>
      <c t="s" s="42" r="F317">
        <v>26</v>
      </c>
      <c t="str" s="30" r="G317">
        <f>HYPERLINK("http://sofifa.com/en/14w/p/n/144","Tog")</f>
        <v>Tog</v>
      </c>
      <c t="str" s="30" r="H317">
        <f>HYPERLINK("http://sofifa.com/en/14w/p/146597-emmanuel-adebayor","E. Adebayor")</f>
        <v>E. Adebayor</v>
      </c>
      <c s="21" r="I317">
        <v>79</v>
      </c>
      <c t="s" s="21" r="J317">
        <v>90</v>
      </c>
      <c t="s" s="21" r="K317">
        <v>95</v>
      </c>
      <c s="21" r="L317">
        <v>29</v>
      </c>
      <c s="42" r="M317">
        <v>7.8</v>
      </c>
      <c s="42" r="N317">
        <v>0.024</v>
      </c>
      <c s="42" r="O317"/>
      <c s="42" r="P317">
        <f>IF((O317&gt;0),N317,0)</f>
        <v>0</v>
      </c>
      <c s="42" r="Q317"/>
    </row>
    <row r="318">
      <c t="s" s="42" r="A318">
        <v>25</v>
      </c>
      <c s="42" r="B318">
        <v>317</v>
      </c>
      <c s="21" r="C318">
        <v>1</v>
      </c>
      <c t="s" s="21" r="D318">
        <v>92</v>
      </c>
      <c t="s" s="42" r="E318">
        <v>26</v>
      </c>
      <c t="s" s="42" r="F318">
        <v>26</v>
      </c>
      <c t="str" s="30" r="G318">
        <f>HYPERLINK("http://sofifa.com/en/14w/p/n/54","Bra")</f>
        <v>Bra</v>
      </c>
      <c t="str" s="30" r="H318">
        <f>HYPERLINK("http://sofifa.com/en/14w/p/145491-heurelho-silva-gomes","Gomes")</f>
        <v>Gomes</v>
      </c>
      <c s="21" r="I318">
        <v>77</v>
      </c>
      <c t="s" s="21" r="J318">
        <v>70</v>
      </c>
      <c t="s" s="21" r="K318">
        <v>95</v>
      </c>
      <c s="21" r="L318">
        <v>32</v>
      </c>
      <c s="42" r="M318">
        <v>3.5</v>
      </c>
      <c s="42" r="N318">
        <v>0.02</v>
      </c>
      <c s="42" r="O318"/>
      <c s="42" r="P318">
        <f>IF((O318&gt;0),N318,0)</f>
        <v>0</v>
      </c>
      <c s="42" r="Q318"/>
    </row>
    <row r="319">
      <c t="s" s="42" r="A319">
        <v>25</v>
      </c>
      <c s="42" r="B319">
        <v>318</v>
      </c>
      <c s="21" r="C319">
        <v>7</v>
      </c>
      <c t="s" s="21" r="D319">
        <v>92</v>
      </c>
      <c t="s" s="42" r="E319">
        <v>26</v>
      </c>
      <c t="s" s="42" r="F319">
        <v>26</v>
      </c>
      <c t="str" s="30" r="G319">
        <f>HYPERLINK("http://sofifa.com/en/14w/p/n/14","Eng")</f>
        <v>Eng</v>
      </c>
      <c t="str" s="30" r="H319">
        <f>HYPERLINK("http://sofifa.com/en/14w/p/147742-aaron-lennon","A. Lennon")</f>
        <v>A. Lennon</v>
      </c>
      <c s="21" r="I319">
        <v>79</v>
      </c>
      <c t="s" s="21" r="J319">
        <v>84</v>
      </c>
      <c t="s" s="21" r="K319">
        <v>110</v>
      </c>
      <c s="21" r="L319">
        <v>26</v>
      </c>
      <c s="42" r="M319">
        <v>8.3</v>
      </c>
      <c s="42" r="N319">
        <v>0.022</v>
      </c>
      <c s="42" r="O319"/>
      <c s="42" r="P319">
        <f>IF((O319&gt;0),N319,0)</f>
        <v>0</v>
      </c>
      <c s="42" r="Q319"/>
    </row>
    <row r="320">
      <c t="s" s="42" r="A320">
        <v>25</v>
      </c>
      <c s="42" r="B320">
        <v>319</v>
      </c>
      <c s="21" r="C320">
        <v>4</v>
      </c>
      <c t="s" s="21" r="D320">
        <v>92</v>
      </c>
      <c t="s" s="42" r="E320">
        <v>26</v>
      </c>
      <c t="s" s="42" r="F320">
        <v>26</v>
      </c>
      <c t="str" s="30" r="G320">
        <f>HYPERLINK("http://sofifa.com/en/14w/p/n/18","Fra")</f>
        <v>Fra</v>
      </c>
      <c t="str" s="30" r="H320">
        <f>HYPERLINK("http://sofifa.com/en/14w/p/147275-younes-kaboul","Y. Kaboul")</f>
        <v>Y. Kaboul</v>
      </c>
      <c s="21" r="I320">
        <v>80</v>
      </c>
      <c t="s" s="21" r="J320">
        <v>75</v>
      </c>
      <c t="s" s="21" r="K320">
        <v>95</v>
      </c>
      <c s="21" r="L320">
        <v>27</v>
      </c>
      <c s="42" r="M320">
        <v>9.9</v>
      </c>
      <c s="42" r="N320">
        <v>0.03</v>
      </c>
      <c s="42" r="O320"/>
      <c s="42" r="P320">
        <f>IF((O320&gt;0),N320,0)</f>
        <v>0</v>
      </c>
      <c s="42" r="Q320"/>
    </row>
    <row r="321">
      <c t="s" s="42" r="A321">
        <v>25</v>
      </c>
      <c s="42" r="B321">
        <v>320</v>
      </c>
      <c s="21" r="C321">
        <v>11</v>
      </c>
      <c t="s" s="21" r="D321">
        <v>92</v>
      </c>
      <c t="s" s="42" r="E321">
        <v>26</v>
      </c>
      <c t="s" s="42" r="F321">
        <v>26</v>
      </c>
      <c t="str" s="30" r="G321">
        <f>HYPERLINK("http://sofifa.com/en/14w/p/n/52","Arg")</f>
        <v>Arg</v>
      </c>
      <c t="str" s="30" r="H321">
        <f>HYPERLINK("http://sofifa.com/en/14w/p/149526-erik-lamela","E. Lamela")</f>
        <v>E. Lamela</v>
      </c>
      <c s="21" r="I321">
        <v>81</v>
      </c>
      <c t="s" s="21" r="J321">
        <v>85</v>
      </c>
      <c t="s" s="21" r="K321">
        <v>89</v>
      </c>
      <c s="21" r="L321">
        <v>21</v>
      </c>
      <c s="42" r="M321">
        <v>14.7</v>
      </c>
      <c s="42" r="N321">
        <v>0.035</v>
      </c>
      <c s="42" r="O321"/>
      <c s="42" r="P321">
        <f>IF((O321&gt;0),N321,0)</f>
        <v>0</v>
      </c>
      <c s="42" r="Q321"/>
    </row>
    <row r="322">
      <c t="s" s="42" r="A322">
        <v>25</v>
      </c>
      <c s="42" r="B322">
        <v>321</v>
      </c>
      <c s="21" r="C322">
        <v>34</v>
      </c>
      <c t="s" s="21" r="D322">
        <v>97</v>
      </c>
      <c t="s" s="42" r="E322">
        <v>26</v>
      </c>
      <c t="s" s="42" r="F322">
        <v>26</v>
      </c>
      <c t="str" s="30" r="G322">
        <f>HYPERLINK("http://sofifa.com/en/14w/p/n/14","Eng")</f>
        <v>Eng</v>
      </c>
      <c t="str" s="30" r="H322">
        <f>HYPERLINK("http://sofifa.com/en/14w/p/148987-jonathan-obika","J. Obika")</f>
        <v>J. Obika</v>
      </c>
      <c s="21" r="I322">
        <v>63</v>
      </c>
      <c t="s" s="21" r="J322">
        <v>90</v>
      </c>
      <c t="s" s="21" r="K322">
        <v>89</v>
      </c>
      <c s="21" r="L322">
        <v>22</v>
      </c>
      <c s="42" r="M322">
        <v>1</v>
      </c>
      <c s="42" r="N322">
        <v>0.004</v>
      </c>
      <c s="42" r="O322"/>
      <c s="42" r="P322">
        <f>IF((O322&gt;0),N322,0)</f>
        <v>0</v>
      </c>
      <c s="42" r="Q322"/>
    </row>
    <row r="323">
      <c t="s" s="42" r="A323">
        <v>25</v>
      </c>
      <c s="42" r="B323">
        <v>322</v>
      </c>
      <c s="21" r="C323">
        <v>60</v>
      </c>
      <c t="s" s="21" r="D323">
        <v>97</v>
      </c>
      <c t="s" s="42" r="E323">
        <v>26</v>
      </c>
      <c t="s" s="42" r="F323">
        <v>26</v>
      </c>
      <c t="str" s="30" r="G323">
        <f>HYPERLINK("http://sofifa.com/en/14w/p/n/18","Fra")</f>
        <v>Fra</v>
      </c>
      <c t="str" s="30" r="H323">
        <f>HYPERLINK("http://sofifa.com/en/14w/p/150521-nabil-bentaleb","N. Bentaleb")</f>
        <v>N. Bentaleb</v>
      </c>
      <c s="21" r="I323">
        <v>61</v>
      </c>
      <c t="s" s="21" r="J323">
        <v>81</v>
      </c>
      <c t="s" s="21" r="K323">
        <v>99</v>
      </c>
      <c s="21" r="L323">
        <v>18</v>
      </c>
      <c s="42" r="M323">
        <v>0.7</v>
      </c>
      <c s="42" r="N323">
        <v>0.003</v>
      </c>
      <c s="42" r="O323"/>
      <c s="42" r="P323">
        <f>IF((O323&gt;0),N323,0)</f>
        <v>0</v>
      </c>
      <c s="42" r="Q323"/>
    </row>
    <row r="324">
      <c t="s" s="42" r="A324">
        <v>25</v>
      </c>
      <c s="42" r="B324">
        <v>323</v>
      </c>
      <c s="21" r="C324">
        <v>35</v>
      </c>
      <c t="s" s="21" r="D324">
        <v>97</v>
      </c>
      <c t="s" s="42" r="E324">
        <v>26</v>
      </c>
      <c t="s" s="42" r="F324">
        <v>26</v>
      </c>
      <c t="str" s="30" r="G324">
        <f>HYPERLINK("http://sofifa.com/en/14w/p/n/14","Eng")</f>
        <v>Eng</v>
      </c>
      <c t="str" s="30" r="H324">
        <f>HYPERLINK("http://sofifa.com/en/14w/p/149715-ezekiel-fryers","E. Fryers")</f>
        <v>E. Fryers</v>
      </c>
      <c s="21" r="I324">
        <v>62</v>
      </c>
      <c t="s" s="21" r="J324">
        <v>78</v>
      </c>
      <c t="s" s="21" r="K324">
        <v>89</v>
      </c>
      <c s="21" r="L324">
        <v>20</v>
      </c>
      <c s="42" r="M324">
        <v>0.7</v>
      </c>
      <c s="42" r="N324">
        <v>0.003</v>
      </c>
      <c s="42" r="O324"/>
      <c s="42" r="P324">
        <f>IF((O324&gt;0),N324,0)</f>
        <v>0</v>
      </c>
      <c s="42" r="Q324"/>
    </row>
    <row r="325">
      <c t="s" s="42" r="A325">
        <v>25</v>
      </c>
      <c s="42" r="B325">
        <v>324</v>
      </c>
      <c s="21" r="C325">
        <v>61</v>
      </c>
      <c t="s" s="21" r="D325">
        <v>97</v>
      </c>
      <c t="s" s="42" r="E325">
        <v>26</v>
      </c>
      <c t="s" s="42" r="F325">
        <v>26</v>
      </c>
      <c t="str" s="30" r="G325">
        <f>HYPERLINK("http://sofifa.com/en/14w/p/n/108","Ivo")</f>
        <v>Ivo</v>
      </c>
      <c t="str" s="30" r="H325">
        <f>HYPERLINK("http://sofifa.com/en/14w/p/150553-souleymane-coulibaly","S. Coulibaly")</f>
        <v>S. Coulibaly</v>
      </c>
      <c s="21" r="I325">
        <v>62</v>
      </c>
      <c t="s" s="21" r="J325">
        <v>90</v>
      </c>
      <c t="s" s="21" r="K325">
        <v>86</v>
      </c>
      <c s="21" r="L325">
        <v>18</v>
      </c>
      <c s="42" r="M325">
        <v>0.9</v>
      </c>
      <c s="42" r="N325">
        <v>0.003</v>
      </c>
      <c s="42" r="O325"/>
      <c s="42" r="P325">
        <f>IF((O325&gt;0),N325,0)</f>
        <v>0</v>
      </c>
      <c s="42" r="Q325"/>
    </row>
    <row r="326">
      <c t="s" s="42" r="A326">
        <v>25</v>
      </c>
      <c s="42" r="B326">
        <v>325</v>
      </c>
      <c s="21" r="C326">
        <v>43</v>
      </c>
      <c t="s" s="21" r="D326">
        <v>97</v>
      </c>
      <c t="s" s="42" r="E326">
        <v>26</v>
      </c>
      <c t="s" s="42" r="F326">
        <v>26</v>
      </c>
      <c t="str" s="30" r="G326">
        <f>HYPERLINK("http://sofifa.com/en/14w/p/n/14","Eng")</f>
        <v>Eng</v>
      </c>
      <c t="str" s="30" r="H326">
        <f>HYPERLINK("http://sofifa.com/en/14w/p/149746-ryan-fredericks","R. Fredericks")</f>
        <v>R. Fredericks</v>
      </c>
      <c s="21" r="I326">
        <v>62</v>
      </c>
      <c t="s" s="21" r="J326">
        <v>84</v>
      </c>
      <c t="s" s="21" r="K326">
        <v>86</v>
      </c>
      <c s="21" r="L326">
        <v>20</v>
      </c>
      <c s="42" r="M326">
        <v>0.8</v>
      </c>
      <c s="42" r="N326">
        <v>0.003</v>
      </c>
      <c s="42" r="O326"/>
      <c s="42" r="P326">
        <f>IF((O326&gt;0),N326,0)</f>
        <v>0</v>
      </c>
      <c s="42" r="Q326"/>
    </row>
    <row r="327">
      <c t="s" s="42" r="A327">
        <v>25</v>
      </c>
      <c s="42" r="B327">
        <v>326</v>
      </c>
      <c s="21" r="C327">
        <v>53</v>
      </c>
      <c t="s" s="21" r="D327">
        <v>97</v>
      </c>
      <c t="s" s="42" r="E327">
        <v>26</v>
      </c>
      <c t="s" s="42" r="F327">
        <v>26</v>
      </c>
      <c t="str" s="30" r="G327">
        <f>HYPERLINK("http://sofifa.com/en/14w/p/n/14","Eng")</f>
        <v>Eng</v>
      </c>
      <c t="str" s="30" r="H327">
        <f>HYPERLINK("http://sofifa.com/en/14w/p/149772-cameron-lancaster","C. Lancaster")</f>
        <v>C. Lancaster</v>
      </c>
      <c s="21" r="I327">
        <v>62</v>
      </c>
      <c t="s" s="21" r="J327">
        <v>90</v>
      </c>
      <c t="s" s="21" r="K327">
        <v>89</v>
      </c>
      <c s="21" r="L327">
        <v>20</v>
      </c>
      <c s="42" r="M327">
        <v>0.9</v>
      </c>
      <c s="42" r="N327">
        <v>0.003</v>
      </c>
      <c s="42" r="O327"/>
      <c s="42" r="P327">
        <f>IF((O327&gt;0),N327,0)</f>
        <v>0</v>
      </c>
      <c s="42" r="Q327"/>
    </row>
    <row r="328">
      <c t="s" s="42" r="A328">
        <v>25</v>
      </c>
      <c s="42" r="B328">
        <v>327</v>
      </c>
      <c s="21" r="C328">
        <v>37</v>
      </c>
      <c t="s" s="21" r="D328">
        <v>97</v>
      </c>
      <c t="s" s="42" r="E328">
        <v>26</v>
      </c>
      <c t="s" s="42" r="F328">
        <v>26</v>
      </c>
      <c t="str" s="30" r="G328">
        <f>HYPERLINK("http://sofifa.com/en/14w/p/n/14","Eng")</f>
        <v>Eng</v>
      </c>
      <c t="str" s="30" r="H328">
        <f>HYPERLINK("http://sofifa.com/en/14w/p/150037-harry-kane","H. Kane")</f>
        <v>H. Kane</v>
      </c>
      <c s="21" r="I328">
        <v>67</v>
      </c>
      <c t="s" s="21" r="J328">
        <v>108</v>
      </c>
      <c t="s" s="21" r="K328">
        <v>89</v>
      </c>
      <c s="21" r="L328">
        <v>19</v>
      </c>
      <c s="42" r="M328">
        <v>1.9</v>
      </c>
      <c s="42" r="N328">
        <v>0.004</v>
      </c>
      <c s="42" r="O328"/>
      <c s="42" r="P328">
        <f>IF((O328&gt;0),N328,0)</f>
        <v>0</v>
      </c>
      <c s="42" r="Q328"/>
    </row>
    <row r="329">
      <c t="s" s="42" r="A329">
        <v>25</v>
      </c>
      <c s="42" r="B329">
        <v>328</v>
      </c>
      <c s="21" r="C329">
        <v>46</v>
      </c>
      <c t="s" s="21" r="D329">
        <v>97</v>
      </c>
      <c t="s" s="42" r="E329">
        <v>26</v>
      </c>
      <c t="s" s="42" r="F329">
        <v>26</v>
      </c>
      <c t="str" s="30" r="G329">
        <f>HYPERLINK("http://sofifa.com/en/14w/p/n/14","Eng")</f>
        <v>Eng</v>
      </c>
      <c t="str" s="30" r="H329">
        <f>HYPERLINK("http://sofifa.com/en/14w/p/147971-simon-dawkins","S. Dawkins")</f>
        <v>S. Dawkins</v>
      </c>
      <c s="21" r="I329">
        <v>64</v>
      </c>
      <c t="s" s="21" r="J329">
        <v>87</v>
      </c>
      <c t="s" s="21" r="K329">
        <v>82</v>
      </c>
      <c s="21" r="L329">
        <v>25</v>
      </c>
      <c s="42" r="M329">
        <v>0.9</v>
      </c>
      <c s="42" r="N329">
        <v>0.004</v>
      </c>
      <c s="42" r="O329"/>
      <c s="42" r="P329">
        <f>IF((O329&gt;0),N329,0)</f>
        <v>0</v>
      </c>
      <c s="42" r="Q329"/>
    </row>
    <row r="330">
      <c t="s" s="42" r="A330">
        <v>25</v>
      </c>
      <c s="42" r="B330">
        <v>329</v>
      </c>
      <c s="21" r="C330">
        <v>3</v>
      </c>
      <c t="s" s="21" r="D330">
        <v>97</v>
      </c>
      <c t="s" s="42" r="E330">
        <v>26</v>
      </c>
      <c t="s" s="42" r="F330">
        <v>26</v>
      </c>
      <c t="str" s="30" r="G330">
        <f>HYPERLINK("http://sofifa.com/en/14w/p/n/14","Eng")</f>
        <v>Eng</v>
      </c>
      <c t="str" s="30" r="H330">
        <f>HYPERLINK("http://sofifa.com/en/14w/p/148915-danny-rose","D. Rose")</f>
        <v>D. Rose</v>
      </c>
      <c s="21" r="I330">
        <v>73</v>
      </c>
      <c t="s" s="21" r="J330">
        <v>78</v>
      </c>
      <c t="s" s="21" r="K330">
        <v>86</v>
      </c>
      <c s="21" r="L330">
        <v>22</v>
      </c>
      <c s="42" r="M330">
        <v>3</v>
      </c>
      <c s="42" r="N330">
        <v>0.009</v>
      </c>
      <c s="42" r="O330"/>
      <c s="42" r="P330">
        <f>IF((O330&gt;0),N330,0)</f>
        <v>0</v>
      </c>
      <c s="42" r="Q330"/>
    </row>
    <row r="331">
      <c t="s" s="42" r="A331">
        <v>25</v>
      </c>
      <c s="42" r="B331">
        <v>330</v>
      </c>
      <c s="21" r="C331">
        <v>63</v>
      </c>
      <c t="s" s="21" r="D331">
        <v>97</v>
      </c>
      <c t="s" s="42" r="E331">
        <v>26</v>
      </c>
      <c t="s" s="42" r="F331">
        <v>26</v>
      </c>
      <c t="str" s="30" r="G331">
        <f>HYPERLINK("http://sofifa.com/en/14w/p/n/25","Rep")</f>
        <v>Rep</v>
      </c>
      <c t="str" s="30" r="H331">
        <f>HYPERLINK("http://sofifa.com/en/14w/p/150617-roman-michael-percil","R. Michael-Percil")</f>
        <v>R. Michael-Percil</v>
      </c>
      <c s="21" r="I331">
        <v>58</v>
      </c>
      <c t="s" s="21" r="J331">
        <v>72</v>
      </c>
      <c t="s" s="21" r="K331">
        <v>79</v>
      </c>
      <c s="21" r="L331">
        <v>18</v>
      </c>
      <c s="42" r="M331">
        <v>0.3</v>
      </c>
      <c s="42" r="N331">
        <v>0.002</v>
      </c>
      <c s="42" r="O331"/>
      <c s="42" r="P331">
        <f>IF((O331&gt;0),N331,0)</f>
        <v>0</v>
      </c>
      <c s="42" r="Q331"/>
    </row>
    <row r="332">
      <c t="s" s="42" r="A332">
        <v>45</v>
      </c>
      <c s="42" r="B332">
        <v>331</v>
      </c>
      <c s="21" r="C332">
        <v>22</v>
      </c>
      <c t="s" s="21" r="D332">
        <v>70</v>
      </c>
      <c t="s" s="42" r="E332">
        <v>46</v>
      </c>
      <c t="s" s="42" r="F332">
        <v>46</v>
      </c>
      <c t="str" s="30" r="G332">
        <f>HYPERLINK("http://sofifa.com/en/14w/p/n/17","Fin")</f>
        <v>Fin</v>
      </c>
      <c t="str" s="30" r="H332">
        <f>HYPERLINK("http://sofifa.com/en/14w/p/143362-jussi-jaaskelainen","J. Jääskeläinen")</f>
        <v>J. Jääskeläinen</v>
      </c>
      <c s="21" r="I332">
        <v>73</v>
      </c>
      <c t="s" s="21" r="J332">
        <v>70</v>
      </c>
      <c t="s" s="21" r="K332">
        <v>95</v>
      </c>
      <c s="21" r="L332">
        <v>38</v>
      </c>
      <c s="42" r="M332">
        <v>1.1</v>
      </c>
      <c s="42" r="N332">
        <v>0.012</v>
      </c>
      <c s="42" r="O332"/>
      <c s="42" r="P332">
        <f>IF((O332&gt;0),N332,0)</f>
        <v>0</v>
      </c>
      <c s="42" r="Q332"/>
    </row>
    <row r="333">
      <c t="s" s="42" r="A333">
        <v>45</v>
      </c>
      <c s="42" r="B333">
        <v>332</v>
      </c>
      <c s="21" r="C333">
        <v>17</v>
      </c>
      <c t="s" s="21" r="D333">
        <v>72</v>
      </c>
      <c t="s" s="42" r="E333">
        <v>46</v>
      </c>
      <c t="s" s="42" r="F333">
        <v>46</v>
      </c>
      <c t="str" s="30" r="G333">
        <f>HYPERLINK("http://sofifa.com/en/14w/p/n/25","Rep")</f>
        <v>Rep</v>
      </c>
      <c t="str" s="30" r="H333">
        <f>HYPERLINK("http://sofifa.com/en/14w/p/147319-joey-obrien","J. O'Brien")</f>
        <v>J. O'Brien</v>
      </c>
      <c s="21" r="I333">
        <v>70</v>
      </c>
      <c t="s" s="21" r="J333">
        <v>78</v>
      </c>
      <c t="s" s="21" r="K333">
        <v>79</v>
      </c>
      <c s="21" r="L333">
        <v>27</v>
      </c>
      <c s="42" r="M333">
        <v>1.7</v>
      </c>
      <c s="42" r="N333">
        <v>0.007</v>
      </c>
      <c s="42" r="O333"/>
      <c s="42" r="P333">
        <f>IF((O333&gt;0),N333,0)</f>
        <v>0</v>
      </c>
      <c s="42" r="Q333"/>
    </row>
    <row r="334">
      <c t="s" s="42" r="A334">
        <v>45</v>
      </c>
      <c s="42" r="B334">
        <v>333</v>
      </c>
      <c s="21" r="C334">
        <v>5</v>
      </c>
      <c t="s" s="21" r="D334">
        <v>74</v>
      </c>
      <c t="s" s="42" r="E334">
        <v>46</v>
      </c>
      <c t="s" s="42" r="F334">
        <v>46</v>
      </c>
      <c t="str" s="30" r="G334">
        <f>HYPERLINK("http://sofifa.com/en/14w/p/n/14","Eng")</f>
        <v>Eng</v>
      </c>
      <c t="str" s="30" r="H334">
        <f>HYPERLINK("http://sofifa.com/en/14w/p/148455-james-tomkins","J. Tomkins")</f>
        <v>J. Tomkins</v>
      </c>
      <c s="21" r="I334">
        <v>73</v>
      </c>
      <c t="s" s="21" r="J334">
        <v>75</v>
      </c>
      <c t="s" s="21" r="K334">
        <v>95</v>
      </c>
      <c s="21" r="L334">
        <v>24</v>
      </c>
      <c s="42" r="M334">
        <v>3</v>
      </c>
      <c s="42" r="N334">
        <v>0.01</v>
      </c>
      <c s="42" r="O334"/>
      <c s="42" r="P334">
        <f>IF((O334&gt;0),N334,0)</f>
        <v>0</v>
      </c>
      <c s="42" r="Q334"/>
    </row>
    <row r="335">
      <c t="s" s="42" r="A335">
        <v>45</v>
      </c>
      <c s="42" r="B335">
        <v>334</v>
      </c>
      <c s="21" r="C335">
        <v>2</v>
      </c>
      <c t="s" s="21" r="D335">
        <v>77</v>
      </c>
      <c t="s" s="42" r="E335">
        <v>46</v>
      </c>
      <c t="s" s="42" r="F335">
        <v>46</v>
      </c>
      <c t="str" s="30" r="G335">
        <f>HYPERLINK("http://sofifa.com/en/14w/p/n/198","New")</f>
        <v>New</v>
      </c>
      <c t="str" s="30" r="H335">
        <f>HYPERLINK("http://sofifa.com/en/14w/p/148186-winston-reid","W. Reid")</f>
        <v>W. Reid</v>
      </c>
      <c s="21" r="I335">
        <v>75</v>
      </c>
      <c t="s" s="21" r="J335">
        <v>75</v>
      </c>
      <c t="s" s="21" r="K335">
        <v>95</v>
      </c>
      <c s="21" r="L335">
        <v>24</v>
      </c>
      <c s="42" r="M335">
        <v>4.2</v>
      </c>
      <c s="42" r="N335">
        <v>0.013</v>
      </c>
      <c s="42" r="O335"/>
      <c s="42" r="P335">
        <f>IF((O335&gt;0),N335,0)</f>
        <v>0</v>
      </c>
      <c s="42" r="Q335"/>
    </row>
    <row r="336">
      <c t="s" s="42" r="A336">
        <v>45</v>
      </c>
      <c s="42" r="B336">
        <v>335</v>
      </c>
      <c s="21" r="C336">
        <v>8</v>
      </c>
      <c t="s" s="21" r="D336">
        <v>78</v>
      </c>
      <c t="s" s="42" r="E336">
        <v>46</v>
      </c>
      <c t="s" s="42" r="F336">
        <v>46</v>
      </c>
      <c t="str" s="30" r="G336">
        <f>HYPERLINK("http://sofifa.com/en/14w/p/n/39","Rom")</f>
        <v>Rom</v>
      </c>
      <c t="str" s="30" r="H336">
        <f>HYPERLINK("http://sofifa.com/en/14w/p/145591-razvan-rat","R. Raţ")</f>
        <v>R. Raţ</v>
      </c>
      <c s="21" r="I336">
        <v>73</v>
      </c>
      <c t="s" s="21" r="J336">
        <v>78</v>
      </c>
      <c t="s" s="21" r="K336">
        <v>82</v>
      </c>
      <c s="21" r="L336">
        <v>32</v>
      </c>
      <c s="42" r="M336">
        <v>2.1</v>
      </c>
      <c s="42" r="N336">
        <v>0.012</v>
      </c>
      <c s="42" r="O336"/>
      <c s="42" r="P336">
        <f>IF((O336&gt;0),N336,0)</f>
        <v>0</v>
      </c>
      <c s="42" r="Q336"/>
    </row>
    <row r="337">
      <c t="s" s="42" r="A337">
        <v>45</v>
      </c>
      <c s="42" r="B337">
        <v>336</v>
      </c>
      <c s="21" r="C337">
        <v>16</v>
      </c>
      <c t="s" s="21" r="D337">
        <v>98</v>
      </c>
      <c t="s" s="42" r="E337">
        <v>46</v>
      </c>
      <c t="s" s="42" r="F337">
        <v>46</v>
      </c>
      <c t="str" s="30" r="G337">
        <f>HYPERLINK("http://sofifa.com/en/14w/p/n/14","Eng")</f>
        <v>Eng</v>
      </c>
      <c t="str" s="30" r="H337">
        <f>HYPERLINK("http://sofifa.com/en/14w/p/147764-mark-noble","M. Noble")</f>
        <v>M. Noble</v>
      </c>
      <c s="21" r="I337">
        <v>75</v>
      </c>
      <c t="s" s="21" r="J337">
        <v>81</v>
      </c>
      <c t="s" s="21" r="K337">
        <v>79</v>
      </c>
      <c s="21" r="L337">
        <v>26</v>
      </c>
      <c s="42" r="M337">
        <v>4.3</v>
      </c>
      <c s="42" r="N337">
        <v>0.013</v>
      </c>
      <c s="42" r="O337"/>
      <c s="42" r="P337">
        <f>IF((O337&gt;0),N337,0)</f>
        <v>0</v>
      </c>
      <c s="42" r="Q337"/>
    </row>
    <row r="338">
      <c t="s" s="42" r="A338">
        <v>45</v>
      </c>
      <c s="42" r="B338">
        <v>337</v>
      </c>
      <c s="21" r="C338">
        <v>21</v>
      </c>
      <c t="s" s="21" r="D338">
        <v>84</v>
      </c>
      <c t="s" s="42" r="E338">
        <v>46</v>
      </c>
      <c t="s" s="42" r="F338">
        <v>46</v>
      </c>
      <c t="str" s="30" r="G338">
        <f>HYPERLINK("http://sofifa.com/en/14w/p/n/136","Sen")</f>
        <v>Sen</v>
      </c>
      <c t="str" s="30" r="H338">
        <f>HYPERLINK("http://sofifa.com/en/14w/p/147801-mohamed-diame","M. Diamé")</f>
        <v>M. Diamé</v>
      </c>
      <c s="21" r="I338">
        <v>73</v>
      </c>
      <c t="s" s="21" r="J338">
        <v>81</v>
      </c>
      <c t="s" s="21" r="K338">
        <v>73</v>
      </c>
      <c s="21" r="L338">
        <v>26</v>
      </c>
      <c s="42" r="M338">
        <v>2.9</v>
      </c>
      <c s="42" r="N338">
        <v>0.01</v>
      </c>
      <c s="42" r="O338"/>
      <c s="42" r="P338">
        <f>IF((O338&gt;0),N338,0)</f>
        <v>0</v>
      </c>
      <c s="42" r="Q338"/>
    </row>
    <row r="339">
      <c t="s" s="42" r="A339">
        <v>45</v>
      </c>
      <c s="42" r="B339">
        <v>338</v>
      </c>
      <c s="21" r="C339">
        <v>15</v>
      </c>
      <c t="s" s="21" r="D339">
        <v>102</v>
      </c>
      <c t="s" s="42" r="E339">
        <v>46</v>
      </c>
      <c t="s" s="42" r="F339">
        <v>46</v>
      </c>
      <c t="str" s="30" r="G339">
        <f>HYPERLINK("http://sofifa.com/en/14w/p/n/14","Eng")</f>
        <v>Eng</v>
      </c>
      <c t="str" s="30" r="H339">
        <f>HYPERLINK("http://sofifa.com/en/14w/p/149861-ravel-morrison","R. Morrison")</f>
        <v>R. Morrison</v>
      </c>
      <c s="21" r="I339">
        <v>69</v>
      </c>
      <c t="s" s="21" r="J339">
        <v>81</v>
      </c>
      <c t="s" s="21" r="K339">
        <v>94</v>
      </c>
      <c s="21" r="L339">
        <v>20</v>
      </c>
      <c s="42" r="M339">
        <v>1.9</v>
      </c>
      <c s="42" r="N339">
        <v>0.005</v>
      </c>
      <c s="42" r="O339"/>
      <c s="42" r="P339">
        <f>IF((O339&gt;0),N339,0)</f>
        <v>0</v>
      </c>
      <c s="42" r="Q339"/>
    </row>
    <row r="340">
      <c t="s" s="42" r="A340">
        <v>45</v>
      </c>
      <c s="42" r="B340">
        <v>339</v>
      </c>
      <c s="21" r="C340">
        <v>4</v>
      </c>
      <c t="s" s="21" r="D340">
        <v>103</v>
      </c>
      <c t="s" s="42" r="E340">
        <v>46</v>
      </c>
      <c t="s" s="42" r="F340">
        <v>46</v>
      </c>
      <c t="str" s="30" r="G340">
        <f>HYPERLINK("http://sofifa.com/en/14w/p/n/14","Eng")</f>
        <v>Eng</v>
      </c>
      <c t="str" s="30" r="H340">
        <f>HYPERLINK("http://sofifa.com/en/14w/p/145985-kevin-nolan","K. Nolan")</f>
        <v>K. Nolan</v>
      </c>
      <c s="21" r="I340">
        <v>75</v>
      </c>
      <c t="s" s="21" r="J340">
        <v>88</v>
      </c>
      <c t="s" s="21" r="K340">
        <v>89</v>
      </c>
      <c s="21" r="L340">
        <v>31</v>
      </c>
      <c s="42" r="M340">
        <v>3.8</v>
      </c>
      <c s="42" r="N340">
        <v>0.015</v>
      </c>
      <c s="42" r="O340"/>
      <c s="42" r="P340">
        <f>IF((O340&gt;0),N340,0)</f>
        <v>0</v>
      </c>
      <c s="42" r="Q340"/>
    </row>
    <row r="341">
      <c t="s" s="42" r="A341">
        <v>45</v>
      </c>
      <c s="42" r="B341">
        <v>340</v>
      </c>
      <c s="21" r="C341">
        <v>7</v>
      </c>
      <c t="s" s="21" r="D341">
        <v>87</v>
      </c>
      <c t="s" s="42" r="E341">
        <v>46</v>
      </c>
      <c t="s" s="42" r="F341">
        <v>46</v>
      </c>
      <c t="str" s="30" r="G341">
        <f>HYPERLINK("http://sofifa.com/en/14w/p/n/14","Eng")</f>
        <v>Eng</v>
      </c>
      <c t="str" s="30" r="H341">
        <f>HYPERLINK("http://sofifa.com/en/14w/p/147413-matt-jarvis","M. Jarvis")</f>
        <v>M. Jarvis</v>
      </c>
      <c s="21" r="I341">
        <v>77</v>
      </c>
      <c t="s" s="21" r="J341">
        <v>87</v>
      </c>
      <c t="s" s="21" r="K341">
        <v>106</v>
      </c>
      <c s="21" r="L341">
        <v>27</v>
      </c>
      <c s="42" r="M341">
        <v>6</v>
      </c>
      <c s="42" r="N341">
        <v>0.017</v>
      </c>
      <c s="42" r="O341"/>
      <c s="42" r="P341">
        <f>IF((O341&gt;0),N341,0)</f>
        <v>0</v>
      </c>
      <c s="42" r="Q341"/>
    </row>
    <row r="342">
      <c t="s" s="42" r="A342">
        <v>45</v>
      </c>
      <c s="42" r="B342">
        <v>341</v>
      </c>
      <c s="21" r="C342">
        <v>11</v>
      </c>
      <c t="s" s="21" r="D342">
        <v>90</v>
      </c>
      <c t="s" s="42" r="E342">
        <v>46</v>
      </c>
      <c t="s" s="42" r="F342">
        <v>46</v>
      </c>
      <c t="str" s="30" r="G342">
        <f>HYPERLINK("http://sofifa.com/en/14w/p/n/126","Mal")</f>
        <v>Mal</v>
      </c>
      <c t="str" s="30" r="H342">
        <f>HYPERLINK("http://sofifa.com/en/14w/p/147882-modibo-maiga","M. Maïga")</f>
        <v>M. Maïga</v>
      </c>
      <c s="21" r="I342">
        <v>73</v>
      </c>
      <c t="s" s="21" r="J342">
        <v>90</v>
      </c>
      <c t="s" s="21" r="K342">
        <v>73</v>
      </c>
      <c s="21" r="L342">
        <v>25</v>
      </c>
      <c s="42" r="M342">
        <v>3.6</v>
      </c>
      <c s="42" r="N342">
        <v>0.01</v>
      </c>
      <c s="42" r="O342"/>
      <c s="42" r="P342">
        <f>IF((O342&gt;0),N342,0)</f>
        <v>0</v>
      </c>
      <c s="42" r="Q342"/>
    </row>
    <row r="343">
      <c t="s" s="42" r="A343">
        <v>45</v>
      </c>
      <c s="42" r="B343">
        <v>342</v>
      </c>
      <c s="21" r="C343">
        <v>26</v>
      </c>
      <c t="s" s="21" r="D343">
        <v>92</v>
      </c>
      <c t="s" s="42" r="E343">
        <v>46</v>
      </c>
      <c t="s" s="42" r="F343">
        <v>46</v>
      </c>
      <c t="str" s="30" r="G343">
        <f>HYPERLINK("http://sofifa.com/en/14w/p/n/14","Eng")</f>
        <v>Eng</v>
      </c>
      <c t="str" s="30" r="H343">
        <f>HYPERLINK("http://sofifa.com/en/14w/p/145757-joe-cole","J. Cole")</f>
        <v>J. Cole</v>
      </c>
      <c s="21" r="I343">
        <v>77</v>
      </c>
      <c t="s" s="21" r="J343">
        <v>88</v>
      </c>
      <c t="s" s="21" r="K343">
        <v>94</v>
      </c>
      <c s="21" r="L343">
        <v>31</v>
      </c>
      <c s="42" r="M343">
        <v>5.2</v>
      </c>
      <c s="42" r="N343">
        <v>0.019</v>
      </c>
      <c s="42" r="O343"/>
      <c s="42" r="P343">
        <f>IF((O343&gt;0),N343,0)</f>
        <v>0</v>
      </c>
      <c s="42" r="Q343"/>
    </row>
    <row r="344">
      <c t="s" s="42" r="A344">
        <v>45</v>
      </c>
      <c s="42" r="B344">
        <v>343</v>
      </c>
      <c s="21" r="C344">
        <v>13</v>
      </c>
      <c t="s" s="21" r="D344">
        <v>92</v>
      </c>
      <c t="s" s="42" r="E344">
        <v>46</v>
      </c>
      <c t="s" s="42" r="F344">
        <v>46</v>
      </c>
      <c t="str" s="30" r="G344">
        <f>HYPERLINK("http://sofifa.com/en/14w/p/n/45","Spa")</f>
        <v>Spa</v>
      </c>
      <c t="str" s="30" r="H344">
        <f>HYPERLINK("http://sofifa.com/en/14w/p/147667-adrian-san-miguel-castillo","Adrián")</f>
        <v>Adrián</v>
      </c>
      <c s="21" r="I344">
        <v>76</v>
      </c>
      <c t="s" s="21" r="J344">
        <v>70</v>
      </c>
      <c t="s" s="21" r="K344">
        <v>99</v>
      </c>
      <c s="21" r="L344">
        <v>26</v>
      </c>
      <c s="42" r="M344">
        <v>4</v>
      </c>
      <c s="42" r="N344">
        <v>0.015</v>
      </c>
      <c s="42" r="O344"/>
      <c s="42" r="P344">
        <f>IF((O344&gt;0),N344,0)</f>
        <v>0</v>
      </c>
      <c s="42" r="Q344"/>
    </row>
    <row r="345">
      <c t="s" s="42" r="A345">
        <v>45</v>
      </c>
      <c s="42" r="B345">
        <v>344</v>
      </c>
      <c s="21" r="C345">
        <v>9</v>
      </c>
      <c t="s" s="21" r="D345">
        <v>92</v>
      </c>
      <c t="s" s="42" r="E345">
        <v>46</v>
      </c>
      <c t="s" s="42" r="F345">
        <v>46</v>
      </c>
      <c t="str" s="30" r="G345">
        <f>HYPERLINK("http://sofifa.com/en/14w/p/n/14","Eng")</f>
        <v>Eng</v>
      </c>
      <c t="str" s="30" r="H345">
        <f>HYPERLINK("http://sofifa.com/en/14w/p/148373-andy-carroll","A. Carroll")</f>
        <v>A. Carroll</v>
      </c>
      <c s="21" r="I345">
        <v>77</v>
      </c>
      <c t="s" s="21" r="J345">
        <v>90</v>
      </c>
      <c t="s" s="21" r="K345">
        <v>95</v>
      </c>
      <c s="21" r="L345">
        <v>24</v>
      </c>
      <c s="42" r="M345">
        <v>7.9</v>
      </c>
      <c s="42" r="N345">
        <v>0.017</v>
      </c>
      <c s="42" r="O345"/>
      <c s="42" r="P345">
        <f>IF((O345&gt;0),N345,0)</f>
        <v>0</v>
      </c>
      <c s="42" r="Q345"/>
    </row>
    <row r="346">
      <c t="s" s="42" r="A346">
        <v>45</v>
      </c>
      <c s="42" r="B346">
        <v>345</v>
      </c>
      <c s="21" r="C346">
        <v>25</v>
      </c>
      <c t="s" s="21" r="D346">
        <v>92</v>
      </c>
      <c t="s" s="42" r="E346">
        <v>46</v>
      </c>
      <c t="s" s="42" r="F346">
        <v>46</v>
      </c>
      <c t="str" s="30" r="G346">
        <f>HYPERLINK("http://sofifa.com/en/14w/p/n/25","Rep")</f>
        <v>Rep</v>
      </c>
      <c t="str" s="30" r="H346">
        <f>HYPERLINK("http://sofifa.com/en/14w/p/148124-stephen-henderson","S. Henderson")</f>
        <v>S. Henderson</v>
      </c>
      <c s="21" r="I346">
        <v>70</v>
      </c>
      <c t="s" s="21" r="J346">
        <v>70</v>
      </c>
      <c t="s" s="21" r="K346">
        <v>91</v>
      </c>
      <c s="21" r="L346">
        <v>25</v>
      </c>
      <c s="42" r="M346">
        <v>1.5</v>
      </c>
      <c s="42" r="N346">
        <v>0.007</v>
      </c>
      <c s="42" r="O346"/>
      <c s="42" r="P346">
        <f>IF((O346&gt;0),N346,0)</f>
        <v>0</v>
      </c>
      <c s="42" r="Q346"/>
    </row>
    <row r="347">
      <c t="s" s="42" r="A347">
        <v>45</v>
      </c>
      <c s="42" r="B347">
        <v>346</v>
      </c>
      <c s="21" r="C347">
        <v>20</v>
      </c>
      <c t="s" s="21" r="D347">
        <v>92</v>
      </c>
      <c t="s" s="42" r="E347">
        <v>46</v>
      </c>
      <c t="s" s="42" r="F347">
        <v>46</v>
      </c>
      <c t="str" s="30" r="G347">
        <f>HYPERLINK("http://sofifa.com/en/14w/p/n/108","Ivo")</f>
        <v>Ivo</v>
      </c>
      <c t="str" s="30" r="H347">
        <f>HYPERLINK("http://sofifa.com/en/14w/p/145609-guy-demel","G. Demel")</f>
        <v>G. Demel</v>
      </c>
      <c s="21" r="I347">
        <v>70</v>
      </c>
      <c t="s" s="21" r="J347">
        <v>72</v>
      </c>
      <c t="s" s="21" r="K347">
        <v>99</v>
      </c>
      <c s="21" r="L347">
        <v>32</v>
      </c>
      <c s="42" r="M347">
        <v>1.3</v>
      </c>
      <c s="42" r="N347">
        <v>0.008</v>
      </c>
      <c s="42" r="O347"/>
      <c s="42" r="P347">
        <f>IF((O347&gt;0),N347,0)</f>
        <v>0</v>
      </c>
      <c s="42" r="Q347"/>
    </row>
    <row r="348">
      <c t="s" s="42" r="A348">
        <v>45</v>
      </c>
      <c s="42" r="B348">
        <v>347</v>
      </c>
      <c s="21" r="C348">
        <v>19</v>
      </c>
      <c t="s" s="21" r="D348">
        <v>92</v>
      </c>
      <c t="s" s="42" r="E348">
        <v>46</v>
      </c>
      <c t="s" s="42" r="F348">
        <v>46</v>
      </c>
      <c t="str" s="30" r="G348">
        <f>HYPERLINK("http://sofifa.com/en/14w/p/n/50","Wal")</f>
        <v>Wal</v>
      </c>
      <c t="str" s="30" r="H348">
        <f>HYPERLINK("http://sofifa.com/en/14w/p/146410-james-collins","J. Collins")</f>
        <v>J. Collins</v>
      </c>
      <c s="21" r="I348">
        <v>74</v>
      </c>
      <c t="s" s="21" r="J348">
        <v>75</v>
      </c>
      <c t="s" s="21" r="K348">
        <v>91</v>
      </c>
      <c s="21" r="L348">
        <v>29</v>
      </c>
      <c s="42" r="M348">
        <v>3</v>
      </c>
      <c s="42" r="N348">
        <v>0.012</v>
      </c>
      <c s="42" r="O348"/>
      <c s="42" r="P348">
        <f>IF((O348&gt;0),N348,0)</f>
        <v>0</v>
      </c>
      <c s="42" r="Q348"/>
    </row>
    <row r="349">
      <c t="s" s="42" r="A349">
        <v>45</v>
      </c>
      <c s="42" r="B349">
        <v>348</v>
      </c>
      <c s="21" r="C349">
        <v>30</v>
      </c>
      <c t="s" s="21" r="D349">
        <v>92</v>
      </c>
      <c t="s" s="42" r="E349">
        <v>46</v>
      </c>
      <c t="s" s="42" r="F349">
        <v>46</v>
      </c>
      <c t="str" s="30" r="G349">
        <f>HYPERLINK("http://sofifa.com/en/14w/p/n/10","Cro")</f>
        <v>Cro</v>
      </c>
      <c t="str" s="30" r="H349">
        <f>HYPERLINK("http://sofifa.com/en/14w/p/145446-mladen-petric","M. Petrić")</f>
        <v>M. Petrić</v>
      </c>
      <c s="21" r="I349">
        <v>78</v>
      </c>
      <c t="s" s="21" r="J349">
        <v>90</v>
      </c>
      <c t="s" s="21" r="K349">
        <v>89</v>
      </c>
      <c s="21" r="L349">
        <v>32</v>
      </c>
      <c s="42" r="M349">
        <v>5.8</v>
      </c>
      <c s="42" r="N349">
        <v>0.023</v>
      </c>
      <c s="42" r="O349"/>
      <c s="42" r="P349">
        <f>IF((O349&gt;0),N349,0)</f>
        <v>0</v>
      </c>
      <c s="42" r="Q349"/>
    </row>
    <row r="350">
      <c t="s" s="42" r="A350">
        <v>45</v>
      </c>
      <c s="42" r="B350">
        <v>349</v>
      </c>
      <c s="21" r="C350">
        <v>3</v>
      </c>
      <c t="s" s="21" r="D350">
        <v>92</v>
      </c>
      <c t="s" s="42" r="E350">
        <v>46</v>
      </c>
      <c t="s" s="42" r="F350">
        <v>46</v>
      </c>
      <c t="str" s="30" r="G350">
        <f>HYPERLINK("http://sofifa.com/en/14w/p/n/35","Nor")</f>
        <v>Nor</v>
      </c>
      <c t="str" s="30" r="H350">
        <f>HYPERLINK("http://sofifa.com/en/14w/p/145564-george-mccartney","G. McCartney")</f>
        <v>G. McCartney</v>
      </c>
      <c s="21" r="I350">
        <v>70</v>
      </c>
      <c t="s" s="21" r="J350">
        <v>78</v>
      </c>
      <c t="s" s="21" r="K350">
        <v>89</v>
      </c>
      <c s="21" r="L350">
        <v>32</v>
      </c>
      <c s="42" r="M350">
        <v>1.3</v>
      </c>
      <c s="42" r="N350">
        <v>0.008</v>
      </c>
      <c s="42" r="O350"/>
      <c s="42" r="P350">
        <f>IF((O350&gt;0),N350,0)</f>
        <v>0</v>
      </c>
      <c s="42" r="Q350"/>
    </row>
    <row r="351">
      <c t="s" s="42" r="A351">
        <v>45</v>
      </c>
      <c s="42" r="B351">
        <v>350</v>
      </c>
      <c s="21" r="C351">
        <v>18</v>
      </c>
      <c t="s" s="21" r="D351">
        <v>92</v>
      </c>
      <c t="s" s="42" r="E351">
        <v>46</v>
      </c>
      <c t="s" s="42" r="F351">
        <v>46</v>
      </c>
      <c t="str" s="30" r="G351">
        <f>HYPERLINK("http://sofifa.com/en/14w/p/n/18","Fra")</f>
        <v>Fra</v>
      </c>
      <c t="str" s="30" r="H351">
        <f>HYPERLINK("http://sofifa.com/en/14w/p/145641-alou-diarra","A. Diarra")</f>
        <v>A. Diarra</v>
      </c>
      <c s="21" r="I351">
        <v>72</v>
      </c>
      <c t="s" s="21" r="J351">
        <v>98</v>
      </c>
      <c t="s" s="21" r="K351">
        <v>95</v>
      </c>
      <c s="21" r="L351">
        <v>31</v>
      </c>
      <c s="42" r="M351">
        <v>1.9</v>
      </c>
      <c s="42" r="N351">
        <v>0.01</v>
      </c>
      <c s="42" r="O351"/>
      <c s="42" r="P351">
        <f>IF((O351&gt;0),N351,0)</f>
        <v>0</v>
      </c>
      <c s="42" r="Q351"/>
    </row>
    <row r="352">
      <c t="s" s="42" r="A352">
        <v>45</v>
      </c>
      <c s="42" r="B352">
        <v>351</v>
      </c>
      <c s="21" r="C352">
        <v>14</v>
      </c>
      <c t="s" s="21" r="D352">
        <v>92</v>
      </c>
      <c t="s" s="42" r="E352">
        <v>46</v>
      </c>
      <c t="s" s="42" r="F352">
        <v>46</v>
      </c>
      <c t="str" s="30" r="G352">
        <f>HYPERLINK("http://sofifa.com/en/14w/p/n/14","Eng")</f>
        <v>Eng</v>
      </c>
      <c t="str" s="30" r="H352">
        <f>HYPERLINK("http://sofifa.com/en/14w/p/145776-matthew-taylor","M. Taylor")</f>
        <v>M. Taylor</v>
      </c>
      <c s="21" r="I352">
        <v>70</v>
      </c>
      <c t="s" s="21" r="J352">
        <v>87</v>
      </c>
      <c t="s" s="21" r="K352">
        <v>82</v>
      </c>
      <c s="21" r="L352">
        <v>31</v>
      </c>
      <c s="42" r="M352">
        <v>1.7</v>
      </c>
      <c s="42" r="N352">
        <v>0.008</v>
      </c>
      <c s="42" r="O352"/>
      <c s="42" r="P352">
        <f>IF((O352&gt;0),N352,0)</f>
        <v>0</v>
      </c>
      <c s="42" r="Q352"/>
    </row>
    <row r="353">
      <c t="s" s="42" r="A353">
        <v>45</v>
      </c>
      <c s="42" r="B353">
        <v>352</v>
      </c>
      <c s="21" r="C353">
        <v>23</v>
      </c>
      <c t="s" s="21" r="D353">
        <v>92</v>
      </c>
      <c t="s" s="42" r="E353">
        <v>46</v>
      </c>
      <c t="s" s="42" r="F353">
        <v>46</v>
      </c>
      <c t="str" s="30" r="G353">
        <f>HYPERLINK("http://sofifa.com/en/14w/p/n/14","Eng")</f>
        <v>Eng</v>
      </c>
      <c t="str" s="30" r="H353">
        <f>HYPERLINK("http://sofifa.com/en/14w/p/146744-stewart-downing","S. Downing")</f>
        <v>S. Downing</v>
      </c>
      <c s="21" r="I353">
        <v>78</v>
      </c>
      <c t="s" s="21" r="J353">
        <v>84</v>
      </c>
      <c t="s" s="21" r="K353">
        <v>79</v>
      </c>
      <c s="21" r="L353">
        <v>28</v>
      </c>
      <c s="42" r="M353">
        <v>6.4</v>
      </c>
      <c s="42" r="N353">
        <v>0.02</v>
      </c>
      <c s="42" r="O353"/>
      <c s="42" r="P353">
        <f>IF((O353&gt;0),N353,0)</f>
        <v>0</v>
      </c>
      <c s="42" r="Q353"/>
    </row>
    <row r="354">
      <c t="s" s="42" r="A354">
        <v>45</v>
      </c>
      <c s="42" r="B354">
        <v>353</v>
      </c>
      <c s="21" r="C354">
        <v>12</v>
      </c>
      <c t="s" s="21" r="D354">
        <v>92</v>
      </c>
      <c t="s" s="42" r="E354">
        <v>46</v>
      </c>
      <c t="s" s="42" r="F354">
        <v>46</v>
      </c>
      <c t="str" s="30" r="G354">
        <f>HYPERLINK("http://sofifa.com/en/14w/p/n/38","Por")</f>
        <v>Por</v>
      </c>
      <c t="str" s="30" r="H354">
        <f>HYPERLINK("http://sofifa.com/en/14w/p/147545-ricardo-vaz-te","R. Vaz Tê")</f>
        <v>R. Vaz Tê</v>
      </c>
      <c s="21" r="I354">
        <v>70</v>
      </c>
      <c t="s" s="21" r="J354">
        <v>84</v>
      </c>
      <c t="s" s="21" r="K354">
        <v>99</v>
      </c>
      <c s="21" r="L354">
        <v>26</v>
      </c>
      <c s="42" r="M354">
        <v>1.9</v>
      </c>
      <c s="42" r="N354">
        <v>0.007</v>
      </c>
      <c s="42" r="O354"/>
      <c s="42" r="P354">
        <f>IF((O354&gt;0),N354,0)</f>
        <v>0</v>
      </c>
      <c s="42" r="Q354"/>
    </row>
    <row r="355">
      <c t="s" s="42" r="A355">
        <v>45</v>
      </c>
      <c s="42" r="B355">
        <v>354</v>
      </c>
      <c s="21" r="C355">
        <v>37</v>
      </c>
      <c t="s" s="21" r="D355">
        <v>97</v>
      </c>
      <c t="s" s="42" r="E355">
        <v>46</v>
      </c>
      <c t="s" s="42" r="F355">
        <v>46</v>
      </c>
      <c t="str" s="30" r="G355">
        <f>HYPERLINK("http://sofifa.com/en/14w/p/n/14","Eng")</f>
        <v>Eng</v>
      </c>
      <c t="str" s="30" r="H355">
        <f>HYPERLINK("http://sofifa.com/en/14w/p/150775-leo-chambers","L. Chambers")</f>
        <v>L. Chambers</v>
      </c>
      <c s="21" r="I355">
        <v>56</v>
      </c>
      <c t="s" s="21" r="J355">
        <v>75</v>
      </c>
      <c t="s" s="21" r="K355">
        <v>73</v>
      </c>
      <c s="21" r="L355">
        <v>17</v>
      </c>
      <c s="42" r="M355">
        <v>0.1</v>
      </c>
      <c s="42" r="N355">
        <v>0.001</v>
      </c>
      <c s="42" r="O355"/>
      <c s="42" r="P355">
        <f>IF((O355&gt;0),N355,0)</f>
        <v>0</v>
      </c>
      <c s="42" r="Q355"/>
    </row>
    <row r="356">
      <c t="s" s="42" r="A356">
        <v>45</v>
      </c>
      <c s="42" r="B356">
        <v>355</v>
      </c>
      <c s="21" r="C356">
        <v>49</v>
      </c>
      <c t="s" s="21" r="D356">
        <v>97</v>
      </c>
      <c t="s" s="42" r="E356">
        <v>46</v>
      </c>
      <c t="s" s="42" r="F356">
        <v>46</v>
      </c>
      <c t="str" s="30" r="G356">
        <f>HYPERLINK("http://sofifa.com/en/14w/p/n/14","Eng")</f>
        <v>Eng</v>
      </c>
      <c t="str" s="30" r="H356">
        <f>HYPERLINK("http://sofifa.com/en/14w/p/150335-blair-turgott","B. Turgott")</f>
        <v>B. Turgott</v>
      </c>
      <c s="21" r="I356">
        <v>61</v>
      </c>
      <c t="s" s="21" r="J356">
        <v>85</v>
      </c>
      <c t="s" s="21" r="K356">
        <v>82</v>
      </c>
      <c s="21" r="L356">
        <v>19</v>
      </c>
      <c s="42" r="M356">
        <v>0.7</v>
      </c>
      <c s="42" r="N356">
        <v>0.003</v>
      </c>
      <c s="42" r="O356"/>
      <c s="42" r="P356">
        <f>IF((O356&gt;0),N356,0)</f>
        <v>0</v>
      </c>
      <c s="42" r="Q356"/>
    </row>
    <row r="357">
      <c t="s" s="42" r="A357">
        <v>45</v>
      </c>
      <c s="42" r="B357">
        <v>356</v>
      </c>
      <c s="21" r="C357">
        <v>33</v>
      </c>
      <c t="s" s="21" r="D357">
        <v>97</v>
      </c>
      <c t="s" s="42" r="E357">
        <v>46</v>
      </c>
      <c t="s" s="42" r="F357">
        <v>46</v>
      </c>
      <c t="str" s="30" r="G357">
        <f>HYPERLINK("http://sofifa.com/en/14w/p/n/14","Eng")</f>
        <v>Eng</v>
      </c>
      <c t="str" s="30" r="H357">
        <f>HYPERLINK("http://sofifa.com/en/14w/p/150026-pelly-ruddock","P. Ruddock")</f>
        <v>P. Ruddock</v>
      </c>
      <c s="21" r="I357">
        <v>55</v>
      </c>
      <c t="s" s="21" r="J357">
        <v>75</v>
      </c>
      <c t="s" s="21" r="K357">
        <v>89</v>
      </c>
      <c s="21" r="L357">
        <v>19</v>
      </c>
      <c s="42" r="M357">
        <v>0.1</v>
      </c>
      <c s="42" r="N357">
        <v>0.002</v>
      </c>
      <c s="42" r="O357"/>
      <c s="42" r="P357">
        <f>IF((O357&gt;0),N357,0)</f>
        <v>0</v>
      </c>
      <c s="42" r="Q357"/>
    </row>
    <row r="358">
      <c t="s" s="42" r="A358">
        <v>45</v>
      </c>
      <c s="42" r="B358">
        <v>357</v>
      </c>
      <c s="21" r="C358">
        <v>38</v>
      </c>
      <c t="s" s="21" r="D358">
        <v>97</v>
      </c>
      <c t="s" s="42" r="E358">
        <v>46</v>
      </c>
      <c t="s" s="42" r="F358">
        <v>46</v>
      </c>
      <c t="str" s="30" r="G358">
        <f>HYPERLINK("http://sofifa.com/en/14w/p/n/195","Aus")</f>
        <v>Aus</v>
      </c>
      <c t="str" s="30" r="H358">
        <f>HYPERLINK("http://sofifa.com/en/14w/p/150260-dylan-tombides","D. Tombides")</f>
        <v>D. Tombides</v>
      </c>
      <c s="21" r="I358">
        <v>57</v>
      </c>
      <c t="s" s="21" r="J358">
        <v>90</v>
      </c>
      <c t="s" s="21" r="K358">
        <v>73</v>
      </c>
      <c s="21" r="L358">
        <v>19</v>
      </c>
      <c s="42" r="M358">
        <v>0.3</v>
      </c>
      <c s="42" r="N358">
        <v>0.002</v>
      </c>
      <c s="42" r="O358"/>
      <c s="42" r="P358">
        <f>IF((O358&gt;0),N358,0)</f>
        <v>0</v>
      </c>
      <c s="42" r="Q358"/>
    </row>
    <row r="359">
      <c t="s" s="42" r="A359">
        <v>45</v>
      </c>
      <c s="42" r="B359">
        <v>358</v>
      </c>
      <c s="21" r="C359">
        <v>24</v>
      </c>
      <c t="s" s="21" r="D359">
        <v>97</v>
      </c>
      <c t="s" s="42" r="E359">
        <v>46</v>
      </c>
      <c t="s" s="42" r="F359">
        <v>46</v>
      </c>
      <c t="str" s="30" r="G359">
        <f>HYPERLINK("http://sofifa.com/en/14w/p/n/14","Eng")</f>
        <v>Eng</v>
      </c>
      <c t="str" s="30" r="H359">
        <f>HYPERLINK("http://sofifa.com/en/14w/p/150296-daniel-potts","D. Potts")</f>
        <v>D. Potts</v>
      </c>
      <c s="21" r="I359">
        <v>60</v>
      </c>
      <c t="s" s="21" r="J359">
        <v>78</v>
      </c>
      <c t="s" s="21" r="K359">
        <v>86</v>
      </c>
      <c s="21" r="L359">
        <v>19</v>
      </c>
      <c s="42" r="M359">
        <v>0.5</v>
      </c>
      <c s="42" r="N359">
        <v>0.003</v>
      </c>
      <c s="42" r="O359"/>
      <c s="42" r="P359">
        <f>IF((O359&gt;0),N359,0)</f>
        <v>0</v>
      </c>
      <c s="42" r="Q359"/>
    </row>
    <row r="360">
      <c t="s" s="42" r="A360">
        <v>45</v>
      </c>
      <c s="42" r="B360">
        <v>359</v>
      </c>
      <c s="21" r="C360">
        <v>43</v>
      </c>
      <c t="s" s="21" r="D360">
        <v>97</v>
      </c>
      <c t="s" s="42" r="E360">
        <v>46</v>
      </c>
      <c t="s" s="42" r="F360">
        <v>46</v>
      </c>
      <c t="str" s="30" r="G360">
        <f>HYPERLINK("http://sofifa.com/en/14w/p/n/14","Eng")</f>
        <v>Eng</v>
      </c>
      <c t="str" s="30" r="H360">
        <f>HYPERLINK("http://sofifa.com/en/14w/p/150037-paul-mccallum","P. McCallum")</f>
        <v>P. McCallum</v>
      </c>
      <c s="21" r="I360">
        <v>60</v>
      </c>
      <c t="s" s="21" r="J360">
        <v>90</v>
      </c>
      <c t="s" s="21" r="K360">
        <v>95</v>
      </c>
      <c s="21" r="L360">
        <v>19</v>
      </c>
      <c s="42" r="M360">
        <v>0.7</v>
      </c>
      <c s="42" r="N360">
        <v>0.003</v>
      </c>
      <c s="42" r="O360"/>
      <c s="42" r="P360">
        <f>IF((O360&gt;0),N360,0)</f>
        <v>0</v>
      </c>
      <c s="42" r="Q360"/>
    </row>
    <row r="361">
      <c t="s" s="42" r="A361">
        <v>45</v>
      </c>
      <c s="42" r="B361">
        <v>360</v>
      </c>
      <c s="21" r="C361">
        <v>35</v>
      </c>
      <c t="s" s="21" r="D361">
        <v>97</v>
      </c>
      <c t="s" s="42" r="E361">
        <v>46</v>
      </c>
      <c t="s" s="42" r="F361">
        <v>46</v>
      </c>
      <c t="str" s="30" r="G361">
        <f>HYPERLINK("http://sofifa.com/en/14w/p/n/95","Uni")</f>
        <v>Uni</v>
      </c>
      <c t="str" s="30" r="H361">
        <f>HYPERLINK("http://sofifa.com/en/14w/p/149709-sebastian-lletget","S. Lletget")</f>
        <v>S. Lletget</v>
      </c>
      <c s="21" r="I361">
        <v>57</v>
      </c>
      <c t="s" s="21" r="J361">
        <v>81</v>
      </c>
      <c t="s" s="21" r="K361">
        <v>79</v>
      </c>
      <c s="21" r="L361">
        <v>20</v>
      </c>
      <c s="42" r="M361">
        <v>0.2</v>
      </c>
      <c s="42" r="N361">
        <v>0.002</v>
      </c>
      <c s="42" r="O361"/>
      <c s="42" r="P361">
        <f>IF((O361&gt;0),N361,0)</f>
        <v>0</v>
      </c>
      <c s="42" r="Q361"/>
    </row>
    <row r="362">
      <c t="s" s="42" r="A362">
        <v>45</v>
      </c>
      <c s="42" r="B362">
        <v>361</v>
      </c>
      <c s="21" r="C362">
        <v>34</v>
      </c>
      <c t="s" s="21" r="D362">
        <v>97</v>
      </c>
      <c t="s" s="42" r="E362">
        <v>46</v>
      </c>
      <c t="s" s="42" r="F362">
        <v>46</v>
      </c>
      <c t="str" s="30" r="G362">
        <f>HYPERLINK("http://sofifa.com/en/14w/p/n/14","Eng")</f>
        <v>Eng</v>
      </c>
      <c t="str" s="30" r="H362">
        <f>HYPERLINK("http://sofifa.com/en/14w/p/150048-george-moncur","G. Moncur")</f>
        <v>G. Moncur</v>
      </c>
      <c s="21" r="I362">
        <v>56</v>
      </c>
      <c t="s" s="21" r="J362">
        <v>98</v>
      </c>
      <c t="s" s="21" r="K362">
        <v>79</v>
      </c>
      <c s="21" r="L362">
        <v>19</v>
      </c>
      <c s="42" r="M362">
        <v>0.1</v>
      </c>
      <c s="42" r="N362">
        <v>0.002</v>
      </c>
      <c s="42" r="O362"/>
      <c s="42" r="P362">
        <f>IF((O362&gt;0),N362,0)</f>
        <v>0</v>
      </c>
      <c s="42" r="Q362"/>
    </row>
    <row r="363">
      <c t="s" s="42" r="A363">
        <v>45</v>
      </c>
      <c s="42" r="B363">
        <v>362</v>
      </c>
      <c s="21" r="C363">
        <v>47</v>
      </c>
      <c t="s" s="21" r="D363">
        <v>97</v>
      </c>
      <c t="s" s="42" r="E363">
        <v>46</v>
      </c>
      <c t="s" s="42" r="F363">
        <v>46</v>
      </c>
      <c t="str" s="30" r="G363">
        <f>HYPERLINK("http://sofifa.com/en/14w/p/n/47","Swi")</f>
        <v>Swi</v>
      </c>
      <c t="str" s="30" r="H363">
        <f>HYPERLINK("http://sofifa.com/en/14w/p/149816-raphael-spiegel","R. Spiegel")</f>
        <v>R. Spiegel</v>
      </c>
      <c s="21" r="I363">
        <v>59</v>
      </c>
      <c t="s" s="21" r="J363">
        <v>70</v>
      </c>
      <c t="s" s="21" r="K363">
        <v>71</v>
      </c>
      <c s="21" r="L363">
        <v>20</v>
      </c>
      <c s="42" r="M363">
        <v>0.4</v>
      </c>
      <c s="42" r="N363">
        <v>0.002</v>
      </c>
      <c s="42" r="O363"/>
      <c s="42" r="P363">
        <f>IF((O363&gt;0),N363,0)</f>
        <v>0</v>
      </c>
      <c s="42" r="Q363"/>
    </row>
    <row r="364">
      <c t="s" s="42" r="A364">
        <v>45</v>
      </c>
      <c s="42" r="B364">
        <v>363</v>
      </c>
      <c s="21" r="C364">
        <v>50</v>
      </c>
      <c t="s" s="21" r="D364">
        <v>97</v>
      </c>
      <c t="s" s="42" r="E364">
        <v>46</v>
      </c>
      <c t="s" s="42" r="F364">
        <v>46</v>
      </c>
      <c t="str" s="30" r="G364">
        <f>HYPERLINK("http://sofifa.com/en/14w/p/n/14","Eng")</f>
        <v>Eng</v>
      </c>
      <c t="str" s="30" r="H364">
        <f>HYPERLINK("http://sofifa.com/en/14w/p/150124-danny-whitehead","D. Whitehead")</f>
        <v>D. Whitehead</v>
      </c>
      <c s="21" r="I364">
        <v>58</v>
      </c>
      <c t="s" s="21" r="J364">
        <v>90</v>
      </c>
      <c t="s" s="21" r="K364">
        <v>82</v>
      </c>
      <c s="21" r="L364">
        <v>19</v>
      </c>
      <c s="42" r="M364">
        <v>0.4</v>
      </c>
      <c s="42" r="N364">
        <v>0.002</v>
      </c>
      <c s="42" r="O364"/>
      <c s="42" r="P364">
        <f>IF((O364&gt;0),N364,0)</f>
        <v>0</v>
      </c>
      <c s="42" r="Q364"/>
    </row>
    <row r="365">
      <c t="s" s="42" r="A365">
        <v>43</v>
      </c>
      <c s="42" r="B365">
        <v>364</v>
      </c>
      <c s="21" r="C365">
        <v>20</v>
      </c>
      <c t="s" s="21" r="D365">
        <v>70</v>
      </c>
      <c t="s" s="42" r="E365">
        <v>44</v>
      </c>
      <c t="s" s="42" r="F365">
        <v>44</v>
      </c>
      <c t="str" s="30" r="G365">
        <f>HYPERLINK("http://sofifa.com/en/14w/p/n/25","Rep")</f>
        <v>Rep</v>
      </c>
      <c t="str" s="30" r="H365">
        <f>HYPERLINK("http://sofifa.com/en/14w/p/146837-keiren-westwood","K. Westwood")</f>
        <v>K. Westwood</v>
      </c>
      <c s="21" r="I365">
        <v>74</v>
      </c>
      <c t="s" s="21" r="J365">
        <v>70</v>
      </c>
      <c t="s" s="21" r="K365">
        <v>99</v>
      </c>
      <c s="21" r="L365">
        <v>28</v>
      </c>
      <c s="42" r="M365">
        <v>2.7</v>
      </c>
      <c s="42" r="N365">
        <v>0.011</v>
      </c>
      <c s="42" r="O365"/>
      <c s="42" r="P365">
        <f>IF((O365&gt;0),N365,0)</f>
        <v>0</v>
      </c>
      <c s="42" r="Q365"/>
    </row>
    <row r="366">
      <c t="s" s="42" r="A366">
        <v>43</v>
      </c>
      <c s="42" r="B366">
        <v>365</v>
      </c>
      <c s="21" r="C366">
        <v>8</v>
      </c>
      <c t="s" s="21" r="D366">
        <v>72</v>
      </c>
      <c t="s" s="42" r="E366">
        <v>44</v>
      </c>
      <c t="s" s="42" r="F366">
        <v>44</v>
      </c>
      <c t="str" s="30" r="G366">
        <f>HYPERLINK("http://sofifa.com/en/14w/p/n/14","Eng")</f>
        <v>Eng</v>
      </c>
      <c t="str" s="30" r="H366">
        <f>HYPERLINK("http://sofifa.com/en/14w/p/147600-craig-gardner","C. Gardner")</f>
        <v>C. Gardner</v>
      </c>
      <c s="21" r="I366">
        <v>73</v>
      </c>
      <c t="s" s="21" r="J366">
        <v>72</v>
      </c>
      <c t="s" s="21" r="K366">
        <v>82</v>
      </c>
      <c s="21" r="L366">
        <v>26</v>
      </c>
      <c s="42" r="M366">
        <v>2.9</v>
      </c>
      <c s="42" r="N366">
        <v>0.01</v>
      </c>
      <c s="42" r="O366"/>
      <c s="42" r="P366">
        <f>IF((O366&gt;0),N366,0)</f>
        <v>0</v>
      </c>
      <c s="42" r="Q366"/>
    </row>
    <row r="367">
      <c t="s" s="42" r="A367">
        <v>43</v>
      </c>
      <c s="42" r="B367">
        <v>366</v>
      </c>
      <c s="21" r="C367">
        <v>16</v>
      </c>
      <c t="s" s="21" r="D367">
        <v>74</v>
      </c>
      <c t="s" s="42" r="E367">
        <v>44</v>
      </c>
      <c t="s" s="42" r="F367">
        <v>44</v>
      </c>
      <c t="str" s="30" r="G367">
        <f>HYPERLINK("http://sofifa.com/en/14w/p/n/25","Rep")</f>
        <v>Rep</v>
      </c>
      <c t="str" s="30" r="H367">
        <f>HYPERLINK("http://sofifa.com/en/14w/p/145565-john-oshea","J. O'Shea")</f>
        <v>J. O'Shea</v>
      </c>
      <c s="21" r="I367">
        <v>75</v>
      </c>
      <c t="s" s="21" r="J367">
        <v>75</v>
      </c>
      <c t="s" s="21" r="K367">
        <v>95</v>
      </c>
      <c s="21" r="L367">
        <v>32</v>
      </c>
      <c s="42" r="M367">
        <v>3.1</v>
      </c>
      <c s="42" r="N367">
        <v>0.015</v>
      </c>
      <c s="42" r="O367"/>
      <c s="42" r="P367">
        <f>IF((O367&gt;0),N367,0)</f>
        <v>0</v>
      </c>
      <c s="42" r="Q367"/>
    </row>
    <row r="368">
      <c t="s" s="42" r="A368">
        <v>43</v>
      </c>
      <c s="42" r="B368">
        <v>367</v>
      </c>
      <c s="21" r="C368">
        <v>24</v>
      </c>
      <c t="s" s="21" r="D368">
        <v>77</v>
      </c>
      <c t="s" s="42" r="E368">
        <v>44</v>
      </c>
      <c t="s" s="42" r="F368">
        <v>44</v>
      </c>
      <c t="str" s="30" r="G368">
        <f>HYPERLINK("http://sofifa.com/en/14w/p/n/45","Spa")</f>
        <v>Spa</v>
      </c>
      <c t="str" s="30" r="H368">
        <f>HYPERLINK("http://sofifa.com/en/14w/p/145680-carlos-javier-cuellar-jimenez","Carlos Cuéllar")</f>
        <v>Carlos Cuéllar</v>
      </c>
      <c s="21" r="I368">
        <v>73</v>
      </c>
      <c t="s" s="21" r="J368">
        <v>75</v>
      </c>
      <c t="s" s="21" r="K368">
        <v>95</v>
      </c>
      <c s="21" r="L368">
        <v>31</v>
      </c>
      <c s="42" r="M368">
        <v>2.4</v>
      </c>
      <c s="42" r="N368">
        <v>0.011</v>
      </c>
      <c s="42" r="O368"/>
      <c s="42" r="P368">
        <f>IF((O368&gt;0),N368,0)</f>
        <v>0</v>
      </c>
      <c s="42" r="Q368"/>
    </row>
    <row r="369">
      <c t="s" s="42" r="A369">
        <v>43</v>
      </c>
      <c s="42" r="B369">
        <v>368</v>
      </c>
      <c s="21" r="C369">
        <v>14</v>
      </c>
      <c t="s" s="21" r="D369">
        <v>78</v>
      </c>
      <c t="s" s="42" r="E369">
        <v>44</v>
      </c>
      <c t="s" s="42" r="F369">
        <v>44</v>
      </c>
      <c t="str" s="30" r="G369">
        <f>HYPERLINK("http://sofifa.com/en/14w/p/n/14","Eng")</f>
        <v>Eng</v>
      </c>
      <c t="str" s="30" r="H369">
        <f>HYPERLINK("http://sofifa.com/en/14w/p/148664-jack-colback","J. Colback")</f>
        <v>J. Colback</v>
      </c>
      <c s="21" r="I369">
        <v>71</v>
      </c>
      <c t="s" s="21" r="J369">
        <v>78</v>
      </c>
      <c t="s" s="21" r="K369">
        <v>94</v>
      </c>
      <c s="21" r="L369">
        <v>23</v>
      </c>
      <c s="42" r="M369">
        <v>2.2</v>
      </c>
      <c s="42" r="N369">
        <v>0.007</v>
      </c>
      <c s="42" r="O369"/>
      <c s="42" r="P369">
        <f>IF((O369&gt;0),N369,0)</f>
        <v>0</v>
      </c>
      <c s="42" r="Q369"/>
    </row>
    <row r="370">
      <c t="s" s="42" r="A370">
        <v>43</v>
      </c>
      <c s="42" r="B370">
        <v>369</v>
      </c>
      <c s="21" r="C370">
        <v>33</v>
      </c>
      <c t="s" s="21" r="D370">
        <v>98</v>
      </c>
      <c t="s" s="42" r="E370">
        <v>44</v>
      </c>
      <c t="s" s="42" r="F370">
        <v>44</v>
      </c>
      <c t="str" s="30" r="G370">
        <f>HYPERLINK("http://sofifa.com/en/14w/p/n/14","Eng")</f>
        <v>Eng</v>
      </c>
      <c t="str" s="30" r="H370">
        <f>HYPERLINK("http://sofifa.com/en/14w/p/148082-lee-cattermole","L. Cattermole")</f>
        <v>L. Cattermole</v>
      </c>
      <c s="21" r="I370">
        <v>74</v>
      </c>
      <c t="s" s="21" r="J370">
        <v>98</v>
      </c>
      <c t="s" s="21" r="K370">
        <v>82</v>
      </c>
      <c s="21" r="L370">
        <v>25</v>
      </c>
      <c s="42" r="M370">
        <v>3.2</v>
      </c>
      <c s="42" r="N370">
        <v>0.011</v>
      </c>
      <c s="42" r="O370"/>
      <c s="42" r="P370">
        <f>IF((O370&gt;0),N370,0)</f>
        <v>0</v>
      </c>
      <c s="42" r="Q370"/>
    </row>
    <row r="371">
      <c t="s" s="42" r="A371">
        <v>43</v>
      </c>
      <c s="42" r="B371">
        <v>370</v>
      </c>
      <c s="21" r="C371">
        <v>11</v>
      </c>
      <c t="s" s="21" r="D371">
        <v>84</v>
      </c>
      <c t="s" s="42" r="E371">
        <v>44</v>
      </c>
      <c t="s" s="42" r="F371">
        <v>44</v>
      </c>
      <c t="str" s="30" r="G371">
        <f>HYPERLINK("http://sofifa.com/en/14w/p/n/14","Eng")</f>
        <v>Eng</v>
      </c>
      <c t="str" s="30" r="H371">
        <f>HYPERLINK("http://sofifa.com/en/14w/p/147831-adam-johnson","A. Johnson")</f>
        <v>A. Johnson</v>
      </c>
      <c s="21" r="I371">
        <v>77</v>
      </c>
      <c t="s" s="21" r="J371">
        <v>84</v>
      </c>
      <c t="s" s="21" r="K371">
        <v>94</v>
      </c>
      <c s="21" r="L371">
        <v>25</v>
      </c>
      <c s="42" r="M371">
        <v>6.3</v>
      </c>
      <c s="42" r="N371">
        <v>0.017</v>
      </c>
      <c s="42" r="O371"/>
      <c s="42" r="P371">
        <f>IF((O371&gt;0),N371,0)</f>
        <v>0</v>
      </c>
      <c s="42" r="Q371"/>
    </row>
    <row r="372">
      <c t="s" s="42" r="A372">
        <v>43</v>
      </c>
      <c s="42" r="B372">
        <v>371</v>
      </c>
      <c s="21" r="C372">
        <v>7</v>
      </c>
      <c t="s" s="21" r="D372">
        <v>102</v>
      </c>
      <c t="s" s="42" r="E372">
        <v>44</v>
      </c>
      <c t="s" s="42" r="F372">
        <v>44</v>
      </c>
      <c t="str" s="30" r="G372">
        <f>HYPERLINK("http://sofifa.com/en/14w/p/n/46","Swe")</f>
        <v>Swe</v>
      </c>
      <c t="str" s="30" r="H372">
        <f>HYPERLINK("http://sofifa.com/en/14w/p/147063-sebastian-larsson","S. Larsson")</f>
        <v>S. Larsson</v>
      </c>
      <c s="21" r="I372">
        <v>72</v>
      </c>
      <c t="s" s="21" r="J372">
        <v>81</v>
      </c>
      <c t="s" s="21" r="K372">
        <v>82</v>
      </c>
      <c s="21" r="L372">
        <v>28</v>
      </c>
      <c s="42" r="M372">
        <v>2.7</v>
      </c>
      <c s="42" r="N372">
        <v>0.009</v>
      </c>
      <c s="42" r="O372"/>
      <c s="42" r="P372">
        <f>IF((O372&gt;0),N372,0)</f>
        <v>0</v>
      </c>
      <c s="42" r="Q372"/>
    </row>
    <row r="373">
      <c t="s" s="42" r="A373">
        <v>43</v>
      </c>
      <c s="42" r="B373">
        <v>372</v>
      </c>
      <c s="21" r="C373">
        <v>4</v>
      </c>
      <c t="s" s="21" r="D373">
        <v>103</v>
      </c>
      <c t="s" s="42" r="E373">
        <v>44</v>
      </c>
      <c t="s" s="42" r="F373">
        <v>44</v>
      </c>
      <c t="str" s="30" r="G373">
        <f>HYPERLINK("http://sofifa.com/en/14w/p/n/167","Kor")</f>
        <v>Kor</v>
      </c>
      <c t="str" s="30" r="H373">
        <f>HYPERLINK("http://sofifa.com/en/14w/p/148391-sung-yueng-ki","S. Ki")</f>
        <v>S. Ki</v>
      </c>
      <c s="21" r="I373">
        <v>74</v>
      </c>
      <c t="s" s="21" r="J373">
        <v>81</v>
      </c>
      <c t="s" s="21" r="K373">
        <v>99</v>
      </c>
      <c s="21" r="L373">
        <v>24</v>
      </c>
      <c s="42" r="M373">
        <v>3.4</v>
      </c>
      <c s="42" r="N373">
        <v>0.011</v>
      </c>
      <c s="42" r="O373"/>
      <c s="42" r="P373">
        <f>IF((O373&gt;0),N373,0)</f>
        <v>0</v>
      </c>
      <c s="42" r="Q373"/>
    </row>
    <row r="374">
      <c t="s" s="42" r="A374">
        <v>43</v>
      </c>
      <c s="42" r="B374">
        <v>373</v>
      </c>
      <c s="21" r="C374">
        <v>23</v>
      </c>
      <c t="s" s="21" r="D374">
        <v>87</v>
      </c>
      <c t="s" s="42" r="E374">
        <v>44</v>
      </c>
      <c t="s" s="42" r="F374">
        <v>44</v>
      </c>
      <c t="str" s="30" r="G374">
        <f>HYPERLINK("http://sofifa.com/en/14w/p/n/27","Ita")</f>
        <v>Ita</v>
      </c>
      <c t="str" s="30" r="H374">
        <f>HYPERLINK("http://sofifa.com/en/14w/p/147031-emanuele-giaccherini","E. Giaccherini")</f>
        <v>E. Giaccherini</v>
      </c>
      <c s="21" r="I374">
        <v>77</v>
      </c>
      <c t="s" s="21" r="J374">
        <v>81</v>
      </c>
      <c t="s" s="21" r="K374">
        <v>93</v>
      </c>
      <c s="21" r="L374">
        <v>28</v>
      </c>
      <c s="42" r="M374">
        <v>5.5</v>
      </c>
      <c s="42" r="N374">
        <v>0.017</v>
      </c>
      <c s="42" r="O374"/>
      <c s="42" r="P374">
        <f>IF((O374&gt;0),N374,0)</f>
        <v>0</v>
      </c>
      <c s="42" r="Q374"/>
    </row>
    <row r="375">
      <c t="s" s="42" r="A375">
        <v>43</v>
      </c>
      <c s="42" r="B375">
        <v>374</v>
      </c>
      <c s="21" r="C375">
        <v>17</v>
      </c>
      <c t="s" s="21" r="D375">
        <v>90</v>
      </c>
      <c t="s" s="42" r="E375">
        <v>44</v>
      </c>
      <c t="s" s="42" r="F375">
        <v>44</v>
      </c>
      <c t="str" s="30" r="G375">
        <f>HYPERLINK("http://sofifa.com/en/14w/p/n/95","Uni")</f>
        <v>Uni</v>
      </c>
      <c t="str" s="30" r="H375">
        <f>HYPERLINK("http://sofifa.com/en/14w/p/148677-jozy-altidore","J. Altidore")</f>
        <v>J. Altidore</v>
      </c>
      <c s="21" r="I375">
        <v>77</v>
      </c>
      <c t="s" s="21" r="J375">
        <v>90</v>
      </c>
      <c t="s" s="21" r="K375">
        <v>73</v>
      </c>
      <c s="21" r="L375">
        <v>23</v>
      </c>
      <c s="42" r="M375">
        <v>7.6</v>
      </c>
      <c s="42" r="N375">
        <v>0.016</v>
      </c>
      <c s="42" r="O375"/>
      <c s="42" r="P375">
        <f>IF((O375&gt;0),N375,0)</f>
        <v>0</v>
      </c>
      <c s="42" r="Q375"/>
    </row>
    <row r="376">
      <c t="s" s="42" r="A376">
        <v>43</v>
      </c>
      <c s="42" r="B376">
        <v>375</v>
      </c>
      <c s="21" r="C376">
        <v>27</v>
      </c>
      <c t="s" s="21" r="D376">
        <v>92</v>
      </c>
      <c t="s" s="42" r="E376">
        <v>44</v>
      </c>
      <c t="s" s="42" r="F376">
        <v>44</v>
      </c>
      <c t="str" s="30" r="G376">
        <f>HYPERLINK("http://sofifa.com/en/14w/p/n/167","Kor")</f>
        <v>Kor</v>
      </c>
      <c t="str" s="30" r="H376">
        <f>HYPERLINK("http://sofifa.com/en/14w/p/149245-dong-won-ji","D. Ji")</f>
        <v>D. Ji</v>
      </c>
      <c s="21" r="I376">
        <v>71</v>
      </c>
      <c t="s" s="21" r="J376">
        <v>88</v>
      </c>
      <c t="s" s="21" r="K376">
        <v>99</v>
      </c>
      <c s="21" r="L376">
        <v>22</v>
      </c>
      <c s="42" r="M376">
        <v>2.7</v>
      </c>
      <c s="42" r="N376">
        <v>0.007</v>
      </c>
      <c s="42" r="O376"/>
      <c s="42" r="P376">
        <f>IF((O376&gt;0),N376,0)</f>
        <v>0</v>
      </c>
      <c s="42" r="Q376"/>
    </row>
    <row r="377">
      <c t="s" s="42" r="A377">
        <v>43</v>
      </c>
      <c s="42" r="B377">
        <v>376</v>
      </c>
      <c s="21" r="C377">
        <v>35</v>
      </c>
      <c t="s" s="21" r="D377">
        <v>92</v>
      </c>
      <c t="s" s="42" r="E377">
        <v>44</v>
      </c>
      <c t="s" s="42" r="F377">
        <v>44</v>
      </c>
      <c t="str" s="30" r="G377">
        <f>HYPERLINK("http://sofifa.com/en/14w/p/n/22","Gre")</f>
        <v>Gre</v>
      </c>
      <c t="str" s="30" r="H377">
        <f>HYPERLINK("http://sofifa.com/en/14w/p/150245-charis-mavrias","C. Mavrias")</f>
        <v>C. Mavrias</v>
      </c>
      <c s="21" r="I377">
        <v>71</v>
      </c>
      <c t="s" s="21" r="J377">
        <v>85</v>
      </c>
      <c t="s" s="21" r="K377">
        <v>82</v>
      </c>
      <c s="21" r="L377">
        <v>19</v>
      </c>
      <c s="42" r="M377">
        <v>2.8</v>
      </c>
      <c s="42" r="N377">
        <v>0.006</v>
      </c>
      <c s="42" r="O377"/>
      <c s="42" r="P377">
        <f>IF((O377&gt;0),N377,0)</f>
        <v>0</v>
      </c>
      <c s="42" r="Q377"/>
    </row>
    <row r="378">
      <c t="s" s="42" r="A378">
        <v>43</v>
      </c>
      <c s="42" r="B378">
        <v>377</v>
      </c>
      <c s="21" r="C378">
        <v>29</v>
      </c>
      <c t="s" s="21" r="D378">
        <v>92</v>
      </c>
      <c t="s" s="42" r="E378">
        <v>44</v>
      </c>
      <c t="s" s="42" r="F378">
        <v>44</v>
      </c>
      <c t="str" s="30" r="G378">
        <f>HYPERLINK("http://sofifa.com/en/14w/p/n/18","Fra")</f>
        <v>Fra</v>
      </c>
      <c t="str" s="30" r="H378">
        <f>HYPERLINK("http://sofifa.com/en/14w/p/147796-valentin-roberge","V. Roberge")</f>
        <v>V. Roberge</v>
      </c>
      <c s="21" r="I378">
        <v>74</v>
      </c>
      <c t="s" s="21" r="J378">
        <v>75</v>
      </c>
      <c t="s" s="21" r="K378">
        <v>99</v>
      </c>
      <c s="21" r="L378">
        <v>26</v>
      </c>
      <c s="42" r="M378">
        <v>3.3</v>
      </c>
      <c s="42" r="N378">
        <v>0.011</v>
      </c>
      <c s="42" r="O378"/>
      <c s="42" r="P378">
        <f>IF((O378&gt;0),N378,0)</f>
        <v>0</v>
      </c>
      <c s="42" r="Q378"/>
    </row>
    <row r="379">
      <c t="s" s="42" r="A379">
        <v>43</v>
      </c>
      <c s="42" r="B379">
        <v>378</v>
      </c>
      <c s="21" r="C379">
        <v>22</v>
      </c>
      <c t="s" s="21" r="D379">
        <v>92</v>
      </c>
      <c t="s" s="42" r="E379">
        <v>44</v>
      </c>
      <c t="s" s="42" r="F379">
        <v>44</v>
      </c>
      <c t="str" s="30" r="G379">
        <f>HYPERLINK("http://sofifa.com/en/14w/p/n/18","Fra")</f>
        <v>Fra</v>
      </c>
      <c t="str" s="30" r="H379">
        <f>HYPERLINK("http://sofifa.com/en/14w/p/149892-el-hadji-ba","E. Ba")</f>
        <v>E. Ba</v>
      </c>
      <c s="21" r="I379">
        <v>56</v>
      </c>
      <c t="s" s="21" r="J379">
        <v>81</v>
      </c>
      <c t="s" s="21" r="K379">
        <v>89</v>
      </c>
      <c s="21" r="L379">
        <v>20</v>
      </c>
      <c s="42" r="M379">
        <v>0.1</v>
      </c>
      <c s="42" r="N379">
        <v>0.002</v>
      </c>
      <c s="42" r="O379"/>
      <c s="42" r="P379">
        <f>IF((O379&gt;0),N379,0)</f>
        <v>0</v>
      </c>
      <c s="42" r="Q379"/>
    </row>
    <row r="380">
      <c t="s" s="42" r="A380">
        <v>43</v>
      </c>
      <c s="42" r="B380">
        <v>379</v>
      </c>
      <c s="21" r="C380">
        <v>10</v>
      </c>
      <c t="s" s="21" r="D380">
        <v>92</v>
      </c>
      <c t="s" s="42" r="E380">
        <v>44</v>
      </c>
      <c t="s" s="42" r="F380">
        <v>44</v>
      </c>
      <c t="str" s="30" r="G380">
        <f>HYPERLINK("http://sofifa.com/en/14w/p/n/14","Eng")</f>
        <v>Eng</v>
      </c>
      <c t="str" s="30" r="H380">
        <f>HYPERLINK("http://sofifa.com/en/14w/p/149918-connor-wickham","C. Wickham")</f>
        <v>C. Wickham</v>
      </c>
      <c s="21" r="I380">
        <v>69</v>
      </c>
      <c t="s" s="21" r="J380">
        <v>90</v>
      </c>
      <c t="s" s="21" r="K380">
        <v>99</v>
      </c>
      <c s="21" r="L380">
        <v>20</v>
      </c>
      <c s="42" r="M380">
        <v>2.3</v>
      </c>
      <c s="42" r="N380">
        <v>0.005</v>
      </c>
      <c s="42" r="O380"/>
      <c s="42" r="P380">
        <f>IF((O380&gt;0),N380,0)</f>
        <v>0</v>
      </c>
      <c s="42" r="Q380"/>
    </row>
    <row r="381">
      <c t="s" s="42" r="A381">
        <v>43</v>
      </c>
      <c s="42" r="B381">
        <v>380</v>
      </c>
      <c s="21" r="C381">
        <v>12</v>
      </c>
      <c t="s" s="21" r="D381">
        <v>92</v>
      </c>
      <c t="s" s="42" r="E381">
        <v>44</v>
      </c>
      <c t="s" s="42" r="F381">
        <v>44</v>
      </c>
      <c t="str" s="30" r="G381">
        <f>HYPERLINK("http://sofifa.com/en/14w/p/n/12","Cze")</f>
        <v>Cze</v>
      </c>
      <c t="str" s="30" r="H381">
        <f>HYPERLINK("http://sofifa.com/en/14w/p/148536-ondrej-celustka","O. Čelůstka")</f>
        <v>O. Čelůstka</v>
      </c>
      <c s="21" r="I381">
        <v>65</v>
      </c>
      <c t="s" s="21" r="J381">
        <v>72</v>
      </c>
      <c t="s" s="21" r="K381">
        <v>73</v>
      </c>
      <c s="21" r="L381">
        <v>24</v>
      </c>
      <c s="42" r="M381">
        <v>0.9</v>
      </c>
      <c s="42" r="N381">
        <v>0.005</v>
      </c>
      <c s="42" r="O381"/>
      <c s="42" r="P381">
        <f>IF((O381&gt;0),N381,0)</f>
        <v>0</v>
      </c>
      <c s="42" r="Q381"/>
    </row>
    <row r="382">
      <c t="s" s="42" r="A382">
        <v>43</v>
      </c>
      <c s="42" r="B382">
        <v>381</v>
      </c>
      <c s="21" r="C382">
        <v>31</v>
      </c>
      <c t="s" s="21" r="D382">
        <v>92</v>
      </c>
      <c t="s" s="42" r="E382">
        <v>44</v>
      </c>
      <c t="s" s="42" r="F382">
        <v>44</v>
      </c>
      <c t="str" s="30" r="G382">
        <f>HYPERLINK("http://sofifa.com/en/14w/p/n/27","Ita")</f>
        <v>Ita</v>
      </c>
      <c t="str" s="30" r="H382">
        <f>HYPERLINK("http://sofifa.com/en/14w/p/149179-fabio-borini","F. Borini")</f>
        <v>F. Borini</v>
      </c>
      <c s="21" r="I382">
        <v>75</v>
      </c>
      <c t="s" s="21" r="J382">
        <v>90</v>
      </c>
      <c t="s" s="21" r="K382">
        <v>79</v>
      </c>
      <c s="21" r="L382">
        <v>22</v>
      </c>
      <c s="42" r="M382">
        <v>5.3</v>
      </c>
      <c s="42" r="N382">
        <v>0.012</v>
      </c>
      <c s="42" r="O382"/>
      <c s="42" r="P382">
        <f>IF((O382&gt;0),N382,0)</f>
        <v>0</v>
      </c>
      <c s="42" r="Q382"/>
    </row>
    <row r="383">
      <c t="s" s="42" r="A383">
        <v>43</v>
      </c>
      <c s="42" r="B383">
        <v>382</v>
      </c>
      <c s="21" r="C383">
        <v>15</v>
      </c>
      <c t="s" s="21" r="D383">
        <v>92</v>
      </c>
      <c t="s" s="42" r="E383">
        <v>44</v>
      </c>
      <c t="s" s="42" r="F383">
        <v>44</v>
      </c>
      <c t="str" s="30" r="G383">
        <f>HYPERLINK("http://sofifa.com/en/14w/p/n/50","Wal")</f>
        <v>Wal</v>
      </c>
      <c t="str" s="30" r="H383">
        <f>HYPERLINK("http://sofifa.com/en/14w/p/146224-david-vaughan","D. Vaughan")</f>
        <v>D. Vaughan</v>
      </c>
      <c s="21" r="I383">
        <v>73</v>
      </c>
      <c t="s" s="21" r="J383">
        <v>81</v>
      </c>
      <c t="s" s="21" r="K383">
        <v>106</v>
      </c>
      <c s="21" r="L383">
        <v>30</v>
      </c>
      <c s="42" r="M383">
        <v>2.5</v>
      </c>
      <c s="42" r="N383">
        <v>0.011</v>
      </c>
      <c s="42" r="O383"/>
      <c s="42" r="P383">
        <f>IF((O383&gt;0),N383,0)</f>
        <v>0</v>
      </c>
      <c s="42" r="Q383"/>
    </row>
    <row r="384">
      <c t="s" s="42" r="A384">
        <v>43</v>
      </c>
      <c s="42" r="B384">
        <v>383</v>
      </c>
      <c s="21" r="C384">
        <v>25</v>
      </c>
      <c t="s" s="21" r="D384">
        <v>92</v>
      </c>
      <c t="s" s="42" r="E384">
        <v>44</v>
      </c>
      <c t="s" s="42" r="F384">
        <v>44</v>
      </c>
      <c t="str" s="30" r="G384">
        <f>HYPERLINK("http://sofifa.com/en/14w/p/n/27","Ita")</f>
        <v>Ita</v>
      </c>
      <c t="str" s="30" r="H384">
        <f>HYPERLINK("http://sofifa.com/en/14w/p/148063-vito-mannone","V. Mannone")</f>
        <v>V. Mannone</v>
      </c>
      <c s="21" r="I384">
        <v>71</v>
      </c>
      <c t="s" s="21" r="J384">
        <v>70</v>
      </c>
      <c t="s" s="21" r="K384">
        <v>99</v>
      </c>
      <c s="21" r="L384">
        <v>25</v>
      </c>
      <c s="42" r="M384">
        <v>1.9</v>
      </c>
      <c s="42" r="N384">
        <v>0.008</v>
      </c>
      <c s="42" r="O384"/>
      <c s="42" r="P384">
        <f>IF((O384&gt;0),N384,0)</f>
        <v>0</v>
      </c>
      <c s="42" r="Q384"/>
    </row>
    <row r="385">
      <c t="s" s="42" r="A385">
        <v>43</v>
      </c>
      <c s="42" r="B385">
        <v>384</v>
      </c>
      <c s="21" r="C385">
        <v>21</v>
      </c>
      <c t="s" s="21" r="D385">
        <v>92</v>
      </c>
      <c t="s" s="42" r="E385">
        <v>44</v>
      </c>
      <c t="s" s="42" r="F385">
        <v>44</v>
      </c>
      <c t="str" s="30" r="G385">
        <f>HYPERLINK("http://sofifa.com/en/14w/p/n/18","Fra")</f>
        <v>Fra</v>
      </c>
      <c t="str" s="30" r="H385">
        <f>HYPERLINK("http://sofifa.com/en/14w/p/147697-mobido-diakite","M. Diakité")</f>
        <v>M. Diakité</v>
      </c>
      <c s="21" r="I385">
        <v>76</v>
      </c>
      <c t="s" s="21" r="J385">
        <v>75</v>
      </c>
      <c t="s" s="21" r="K385">
        <v>91</v>
      </c>
      <c s="21" r="L385">
        <v>26</v>
      </c>
      <c s="42" r="M385">
        <v>5.1</v>
      </c>
      <c s="42" r="N385">
        <v>0.015</v>
      </c>
      <c s="42" r="O385"/>
      <c s="42" r="P385">
        <f>IF((O385&gt;0),N385,0)</f>
        <v>0</v>
      </c>
      <c s="42" r="Q385"/>
    </row>
    <row r="386">
      <c t="s" s="42" r="A386">
        <v>43</v>
      </c>
      <c s="42" r="B386">
        <v>385</v>
      </c>
      <c s="21" r="C386">
        <v>9</v>
      </c>
      <c t="s" s="21" r="D386">
        <v>92</v>
      </c>
      <c t="s" s="42" r="E386">
        <v>44</v>
      </c>
      <c t="s" s="42" r="F386">
        <v>44</v>
      </c>
      <c t="str" s="30" r="G386">
        <f>HYPERLINK("http://sofifa.com/en/14w/p/n/42","Sco")</f>
        <v>Sco</v>
      </c>
      <c t="str" s="30" r="H386">
        <f>HYPERLINK("http://sofifa.com/en/14w/p/147721-steven-fletcher","S. Fletcher")</f>
        <v>S. Fletcher</v>
      </c>
      <c s="21" r="I386">
        <v>76</v>
      </c>
      <c t="s" s="21" r="J386">
        <v>90</v>
      </c>
      <c t="s" s="21" r="K386">
        <v>73</v>
      </c>
      <c s="21" r="L386">
        <v>26</v>
      </c>
      <c s="42" r="M386">
        <v>5.8</v>
      </c>
      <c s="42" r="N386">
        <v>0.015</v>
      </c>
      <c s="42" r="O386"/>
      <c s="42" r="P386">
        <f>IF((O386&gt;0),N386,0)</f>
        <v>0</v>
      </c>
      <c s="42" r="Q386"/>
    </row>
    <row r="387">
      <c t="s" s="42" r="A387">
        <v>43</v>
      </c>
      <c s="42" r="B387">
        <v>386</v>
      </c>
      <c s="21" r="C387">
        <v>5</v>
      </c>
      <c t="s" s="21" r="D387">
        <v>92</v>
      </c>
      <c t="s" s="42" r="E387">
        <v>44</v>
      </c>
      <c t="s" s="42" r="F387">
        <v>44</v>
      </c>
      <c t="str" s="30" r="G387">
        <f>HYPERLINK("http://sofifa.com/en/14w/p/n/14","Eng")</f>
        <v>Eng</v>
      </c>
      <c t="str" s="30" r="H387">
        <f>HYPERLINK("http://sofifa.com/en/14w/p/145000-wes-brown","W. Brown")</f>
        <v>W. Brown</v>
      </c>
      <c s="21" r="I387">
        <v>76</v>
      </c>
      <c t="s" s="21" r="J387">
        <v>75</v>
      </c>
      <c t="s" s="21" r="K387">
        <v>73</v>
      </c>
      <c s="21" r="L387">
        <v>33</v>
      </c>
      <c s="42" r="M387">
        <v>3.4</v>
      </c>
      <c s="42" r="N387">
        <v>0.018</v>
      </c>
      <c s="42" r="O387"/>
      <c s="42" r="P387">
        <f>IF((O387&gt;0),N387,0)</f>
        <v>0</v>
      </c>
      <c s="42" r="Q387"/>
    </row>
    <row r="388">
      <c t="s" s="42" r="A388">
        <v>43</v>
      </c>
      <c s="42" r="B388">
        <v>387</v>
      </c>
      <c s="21" r="C388">
        <v>47</v>
      </c>
      <c t="s" s="21" r="D388">
        <v>97</v>
      </c>
      <c t="s" s="42" r="E388">
        <v>44</v>
      </c>
      <c t="s" s="42" r="F388">
        <v>44</v>
      </c>
      <c t="str" s="30" r="G388">
        <f>HYPERLINK("http://sofifa.com/en/14w/p/n/14","Eng")</f>
        <v>Eng</v>
      </c>
      <c t="str" s="30" r="H388">
        <f>HYPERLINK("http://sofifa.com/en/14w/p/150171-joel-dixon","J. Dixon")</f>
        <v>J. Dixon</v>
      </c>
      <c s="21" r="I388">
        <v>59</v>
      </c>
      <c t="s" s="21" r="J388">
        <v>70</v>
      </c>
      <c t="s" s="21" r="K388">
        <v>89</v>
      </c>
      <c s="21" r="L388">
        <v>19</v>
      </c>
      <c s="42" r="M388">
        <v>0.4</v>
      </c>
      <c s="42" r="N388">
        <v>0.002</v>
      </c>
      <c s="42" r="O388"/>
      <c s="42" r="P388">
        <f>IF((O388&gt;0),N388,0)</f>
        <v>0</v>
      </c>
      <c s="42" r="Q388"/>
    </row>
    <row r="389">
      <c t="s" s="42" r="A389">
        <v>43</v>
      </c>
      <c s="42" r="B389">
        <v>388</v>
      </c>
      <c s="21" r="C389">
        <v>52</v>
      </c>
      <c t="s" s="21" r="D389">
        <v>97</v>
      </c>
      <c t="s" s="42" r="E389">
        <v>44</v>
      </c>
      <c t="s" s="42" r="F389">
        <v>44</v>
      </c>
      <c t="str" s="30" r="G389">
        <f>HYPERLINK("http://sofifa.com/en/14w/p/n/14","Eng")</f>
        <v>Eng</v>
      </c>
      <c t="str" s="30" r="H389">
        <f>HYPERLINK("http://sofifa.com/en/14w/p/150119-adam-mitchell","A. Mitchell")</f>
        <v>A. Mitchell</v>
      </c>
      <c s="21" r="I389">
        <v>59</v>
      </c>
      <c t="s" s="21" r="J389">
        <v>84</v>
      </c>
      <c t="s" s="21" r="K389">
        <v>86</v>
      </c>
      <c s="21" r="L389">
        <v>19</v>
      </c>
      <c s="42" r="M389">
        <v>0.5</v>
      </c>
      <c s="42" r="N389">
        <v>0.002</v>
      </c>
      <c s="42" r="O389"/>
      <c s="42" r="P389">
        <f>IF((O389&gt;0),N389,0)</f>
        <v>0</v>
      </c>
      <c s="42" r="Q389"/>
    </row>
    <row r="390">
      <c t="s" s="42" r="A390">
        <v>43</v>
      </c>
      <c s="42" r="B390">
        <v>389</v>
      </c>
      <c s="21" r="C390">
        <v>19</v>
      </c>
      <c t="s" s="21" r="D390">
        <v>97</v>
      </c>
      <c t="s" s="42" r="E390">
        <v>44</v>
      </c>
      <c t="s" s="42" r="F390">
        <v>44</v>
      </c>
      <c t="str" s="30" r="G390">
        <f>HYPERLINK("http://sofifa.com/en/14w/p/n/46","Swe")</f>
        <v>Swe</v>
      </c>
      <c t="str" s="30" r="H390">
        <f>HYPERLINK("http://sofifa.com/en/14w/p/150272-david-moberg-karlsson","D. Moberg-Karlsson")</f>
        <v>D. Moberg-Karlsson</v>
      </c>
      <c s="21" r="I390">
        <v>59</v>
      </c>
      <c t="s" s="21" r="J390">
        <v>90</v>
      </c>
      <c t="s" s="21" r="K390">
        <v>82</v>
      </c>
      <c s="21" r="L390">
        <v>19</v>
      </c>
      <c s="42" r="M390">
        <v>0.5</v>
      </c>
      <c s="42" r="N390">
        <v>0.002</v>
      </c>
      <c s="42" r="O390"/>
      <c s="42" r="P390">
        <f>IF((O390&gt;0),N390,0)</f>
        <v>0</v>
      </c>
      <c s="42" r="Q390"/>
    </row>
    <row r="391">
      <c t="s" s="42" r="A391">
        <v>43</v>
      </c>
      <c s="42" r="B391">
        <v>390</v>
      </c>
      <c s="21" r="C391">
        <v>42</v>
      </c>
      <c t="s" s="21" r="D391">
        <v>97</v>
      </c>
      <c t="s" s="42" r="E391">
        <v>44</v>
      </c>
      <c t="s" s="42" r="F391">
        <v>44</v>
      </c>
      <c t="str" s="30" r="G391">
        <f>HYPERLINK("http://sofifa.com/en/14w/p/n/14","Eng")</f>
        <v>Eng</v>
      </c>
      <c t="str" s="30" r="H391">
        <f>HYPERLINK("http://sofifa.com/en/14w/p/149793-liam-marrs","L. Marrs")</f>
        <v>L. Marrs</v>
      </c>
      <c s="21" r="I391">
        <v>61</v>
      </c>
      <c t="s" s="21" r="J391">
        <v>72</v>
      </c>
      <c t="s" s="21" r="K391">
        <v>94</v>
      </c>
      <c s="21" r="L391">
        <v>20</v>
      </c>
      <c s="42" r="M391">
        <v>0.6</v>
      </c>
      <c s="42" r="N391">
        <v>0.003</v>
      </c>
      <c s="42" r="O391"/>
      <c s="42" r="P391">
        <f>IF((O391&gt;0),N391,0)</f>
        <v>0</v>
      </c>
      <c s="42" r="Q391"/>
    </row>
    <row r="392">
      <c t="s" s="42" r="A392">
        <v>43</v>
      </c>
      <c s="42" r="B392">
        <v>391</v>
      </c>
      <c s="21" r="C392">
        <v>18</v>
      </c>
      <c t="s" s="21" r="D392">
        <v>97</v>
      </c>
      <c t="s" s="42" r="E392">
        <v>44</v>
      </c>
      <c t="s" s="42" r="F392">
        <v>44</v>
      </c>
      <c t="str" s="30" r="G392">
        <f>HYPERLINK("http://sofifa.com/en/14w/p/n/18","Fra")</f>
        <v>Fra</v>
      </c>
      <c t="str" s="30" r="H392">
        <f>HYPERLINK("http://sofifa.com/en/14w/p/150477-mikael-mandron","M. Mandron")</f>
        <v>M. Mandron</v>
      </c>
      <c s="21" r="I392">
        <v>60</v>
      </c>
      <c t="s" s="21" r="J392">
        <v>90</v>
      </c>
      <c t="s" s="21" r="K392">
        <v>95</v>
      </c>
      <c s="21" r="L392">
        <v>18</v>
      </c>
      <c s="42" r="M392">
        <v>0.7</v>
      </c>
      <c s="42" r="N392">
        <v>0.002</v>
      </c>
      <c s="42" r="O392"/>
      <c s="42" r="P392">
        <f>IF((O392&gt;0),N392,0)</f>
        <v>0</v>
      </c>
      <c s="42" r="Q392"/>
    </row>
    <row r="393">
      <c t="s" s="42" r="A393">
        <v>43</v>
      </c>
      <c s="42" r="B393">
        <v>392</v>
      </c>
      <c s="21" r="C393">
        <v>41</v>
      </c>
      <c t="s" s="21" r="D393">
        <v>97</v>
      </c>
      <c t="s" s="42" r="E393">
        <v>44</v>
      </c>
      <c t="s" s="42" r="F393">
        <v>44</v>
      </c>
      <c t="str" s="30" r="G393">
        <f>HYPERLINK("http://sofifa.com/en/14w/p/n/14","Eng")</f>
        <v>Eng</v>
      </c>
      <c t="str" s="30" r="H393">
        <f>HYPERLINK("http://sofifa.com/en/14w/p/149893-louis-laing","L. Laing")</f>
        <v>L. Laing</v>
      </c>
      <c s="21" r="I393">
        <v>60</v>
      </c>
      <c t="s" s="21" r="J393">
        <v>75</v>
      </c>
      <c t="s" s="21" r="K393">
        <v>79</v>
      </c>
      <c s="21" r="L393">
        <v>20</v>
      </c>
      <c s="42" r="M393">
        <v>0.5</v>
      </c>
      <c s="42" r="N393">
        <v>0.003</v>
      </c>
      <c s="42" r="O393"/>
      <c s="42" r="P393">
        <f>IF((O393&gt;0),N393,0)</f>
        <v>0</v>
      </c>
      <c s="42" r="Q393"/>
    </row>
    <row r="394">
      <c t="s" s="42" r="A394">
        <v>43</v>
      </c>
      <c s="42" r="B394">
        <v>393</v>
      </c>
      <c s="21" r="C394">
        <v>3</v>
      </c>
      <c t="s" s="21" r="D394">
        <v>97</v>
      </c>
      <c t="s" s="42" r="E394">
        <v>44</v>
      </c>
      <c t="s" s="42" r="F394">
        <v>44</v>
      </c>
      <c t="str" s="30" r="G394">
        <f>HYPERLINK("http://sofifa.com/en/14w/p/n/27","Ita")</f>
        <v>Ita</v>
      </c>
      <c t="str" s="30" r="H394">
        <f>HYPERLINK("http://sofifa.com/en/14w/p/145699-andrea-dossena","A. Dossena")</f>
        <v>A. Dossena</v>
      </c>
      <c s="21" r="I394">
        <v>70</v>
      </c>
      <c t="s" s="21" r="J394">
        <v>87</v>
      </c>
      <c t="s" s="21" r="K394">
        <v>79</v>
      </c>
      <c s="21" r="L394">
        <v>31</v>
      </c>
      <c s="42" r="M394">
        <v>1.5</v>
      </c>
      <c s="42" r="N394">
        <v>0.008</v>
      </c>
      <c s="42" r="O394"/>
      <c s="42" r="P394">
        <f>IF((O394&gt;0),N394,0)</f>
        <v>0</v>
      </c>
      <c s="42" r="Q394"/>
    </row>
    <row r="395">
      <c t="s" s="42" r="A395">
        <v>43</v>
      </c>
      <c s="42" r="B395">
        <v>394</v>
      </c>
      <c s="21" r="C395">
        <v>40</v>
      </c>
      <c t="s" s="21" r="D395">
        <v>97</v>
      </c>
      <c t="s" s="42" r="E395">
        <v>44</v>
      </c>
      <c t="s" s="42" r="F395">
        <v>44</v>
      </c>
      <c t="str" s="30" r="G395">
        <f>HYPERLINK("http://sofifa.com/en/14w/p/n/42","Sco")</f>
        <v>Sco</v>
      </c>
      <c t="str" s="30" r="H395">
        <f>HYPERLINK("http://sofifa.com/en/14w/p/147085-phil-bardsley","P. Bardsley")</f>
        <v>P. Bardsley</v>
      </c>
      <c s="21" r="I395">
        <v>72</v>
      </c>
      <c t="s" s="21" r="J395">
        <v>72</v>
      </c>
      <c t="s" s="21" r="K395">
        <v>79</v>
      </c>
      <c s="21" r="L395">
        <v>28</v>
      </c>
      <c s="42" r="M395">
        <v>2.3</v>
      </c>
      <c s="42" r="N395">
        <v>0.009</v>
      </c>
      <c s="42" r="O395"/>
      <c s="42" r="P395">
        <f>IF((O395&gt;0),N395,0)</f>
        <v>0</v>
      </c>
      <c s="42" r="Q395"/>
    </row>
    <row r="396">
      <c t="s" s="42" r="A396">
        <v>43</v>
      </c>
      <c s="42" r="B396">
        <v>395</v>
      </c>
      <c s="21" r="C396">
        <v>6</v>
      </c>
      <c t="s" s="21" r="D396">
        <v>97</v>
      </c>
      <c t="s" s="42" r="E396">
        <v>44</v>
      </c>
      <c t="s" s="42" r="F396">
        <v>44</v>
      </c>
      <c t="str" s="30" r="G396">
        <f>HYPERLINK("http://sofifa.com/en/14w/p/n/47","Swi")</f>
        <v>Swi</v>
      </c>
      <c t="str" s="30" r="H396">
        <f>HYPERLINK("http://sofifa.com/en/14w/p/148297-adilson-tavares-varela","Cabral")</f>
        <v>Cabral</v>
      </c>
      <c s="21" r="I396">
        <v>65</v>
      </c>
      <c t="s" s="21" r="J396">
        <v>81</v>
      </c>
      <c t="s" s="21" r="K396">
        <v>82</v>
      </c>
      <c s="21" r="L396">
        <v>24</v>
      </c>
      <c s="42" r="M396">
        <v>1</v>
      </c>
      <c s="42" r="N396">
        <v>0.005</v>
      </c>
      <c s="42" r="O396"/>
      <c s="42" r="P396">
        <f>IF((O396&gt;0),N396,0)</f>
        <v>0</v>
      </c>
      <c s="42" r="Q396"/>
    </row>
    <row r="397">
      <c t="s" s="42" r="A397">
        <v>43</v>
      </c>
      <c s="42" r="B397">
        <v>396</v>
      </c>
      <c s="21" r="C397">
        <v>45</v>
      </c>
      <c t="s" s="21" r="D397">
        <v>97</v>
      </c>
      <c t="s" s="42" r="E397">
        <v>44</v>
      </c>
      <c t="s" s="42" r="F397">
        <v>44</v>
      </c>
      <c t="str" s="30" r="G397">
        <f>HYPERLINK("http://sofifa.com/en/14w/p/n/14","Eng")</f>
        <v>Eng</v>
      </c>
      <c t="str" s="30" r="H397">
        <f>HYPERLINK("http://sofifa.com/en/14w/p/150260-duncan-watmore","D. Watmore")</f>
        <v>D. Watmore</v>
      </c>
      <c s="21" r="I397">
        <v>58</v>
      </c>
      <c t="s" s="21" r="J397">
        <v>90</v>
      </c>
      <c t="s" s="21" r="K397">
        <v>86</v>
      </c>
      <c s="21" r="L397">
        <v>19</v>
      </c>
      <c s="42" r="M397">
        <v>0.4</v>
      </c>
      <c s="42" r="N397">
        <v>0.002</v>
      </c>
      <c s="42" r="O397"/>
      <c s="42" r="P397">
        <f>IF((O397&gt;0),N397,0)</f>
        <v>0</v>
      </c>
      <c s="42" r="Q397"/>
    </row>
    <row r="398">
      <c t="s" s="42" r="A398">
        <v>41</v>
      </c>
      <c s="42" r="B398">
        <v>397</v>
      </c>
      <c s="21" r="C398">
        <v>13</v>
      </c>
      <c t="s" s="21" r="D398">
        <v>70</v>
      </c>
      <c t="s" s="42" r="E398">
        <v>42</v>
      </c>
      <c t="s" s="42" r="F398">
        <v>42</v>
      </c>
      <c t="str" s="30" r="G398">
        <f>HYPERLINK("http://sofifa.com/en/14w/p/n/50","Wal")</f>
        <v>Wal</v>
      </c>
      <c t="str" s="30" r="H398">
        <f>HYPERLINK("http://sofifa.com/en/14w/p/146123-boaz-myhill","B. Myhill")</f>
        <v>B. Myhill</v>
      </c>
      <c s="21" r="I398">
        <v>72</v>
      </c>
      <c t="s" s="21" r="J398">
        <v>70</v>
      </c>
      <c t="s" s="21" r="K398">
        <v>95</v>
      </c>
      <c s="21" r="L398">
        <v>30</v>
      </c>
      <c s="42" r="M398">
        <v>1.8</v>
      </c>
      <c s="42" r="N398">
        <v>0.01</v>
      </c>
      <c s="42" r="O398"/>
      <c s="42" r="P398">
        <f>IF((O398&gt;0),N398,0)</f>
        <v>0</v>
      </c>
      <c s="42" r="Q398"/>
    </row>
    <row r="399">
      <c t="s" s="42" r="A399">
        <v>41</v>
      </c>
      <c s="42" r="B399">
        <v>398</v>
      </c>
      <c s="21" r="C399">
        <v>28</v>
      </c>
      <c t="s" s="21" r="D399">
        <v>72</v>
      </c>
      <c t="s" s="42" r="E399">
        <v>42</v>
      </c>
      <c t="s" s="42" r="F399">
        <v>42</v>
      </c>
      <c t="str" s="30" r="G399">
        <f>HYPERLINK("http://sofifa.com/en/14w/p/n/14","Eng")</f>
        <v>Eng</v>
      </c>
      <c t="str" s="30" r="H399">
        <f>HYPERLINK("http://sofifa.com/en/14w/p/147719-billy-jones","B. Jones")</f>
        <v>B. Jones</v>
      </c>
      <c s="21" r="I399">
        <v>68</v>
      </c>
      <c t="s" s="21" r="J399">
        <v>72</v>
      </c>
      <c t="s" s="21" r="K399">
        <v>79</v>
      </c>
      <c s="21" r="L399">
        <v>26</v>
      </c>
      <c s="42" r="M399">
        <v>1.4</v>
      </c>
      <c s="42" r="N399">
        <v>0.006</v>
      </c>
      <c s="42" r="O399"/>
      <c s="42" r="P399">
        <f>IF((O399&gt;0),N399,0)</f>
        <v>0</v>
      </c>
      <c s="42" r="Q399"/>
    </row>
    <row r="400">
      <c t="s" s="42" r="A400">
        <v>41</v>
      </c>
      <c s="42" r="B400">
        <v>399</v>
      </c>
      <c s="21" r="C400">
        <v>23</v>
      </c>
      <c t="s" s="21" r="D400">
        <v>74</v>
      </c>
      <c t="s" s="42" r="E400">
        <v>42</v>
      </c>
      <c t="s" s="42" r="F400">
        <v>42</v>
      </c>
      <c t="str" s="30" r="G400">
        <f>HYPERLINK("http://sofifa.com/en/14w/p/n/35","Nor")</f>
        <v>Nor</v>
      </c>
      <c t="str" s="30" r="H400">
        <f>HYPERLINK("http://sofifa.com/en/14w/p/145053-gareth-mcauley","G. McAuley")</f>
        <v>G. McAuley</v>
      </c>
      <c s="21" r="I400">
        <v>73</v>
      </c>
      <c t="s" s="21" r="J400">
        <v>75</v>
      </c>
      <c t="s" s="21" r="K400">
        <v>95</v>
      </c>
      <c s="21" r="L400">
        <v>33</v>
      </c>
      <c s="42" r="M400">
        <v>2.1</v>
      </c>
      <c s="42" r="N400">
        <v>0.012</v>
      </c>
      <c s="42" r="O400"/>
      <c s="42" r="P400">
        <f>IF((O400&gt;0),N400,0)</f>
        <v>0</v>
      </c>
      <c s="42" r="Q400"/>
    </row>
    <row r="401">
      <c t="s" s="42" r="A401">
        <v>41</v>
      </c>
      <c s="42" r="B401">
        <v>400</v>
      </c>
      <c s="21" r="C401">
        <v>3</v>
      </c>
      <c t="s" s="21" r="D401">
        <v>77</v>
      </c>
      <c t="s" s="42" r="E401">
        <v>42</v>
      </c>
      <c t="s" s="42" r="F401">
        <v>42</v>
      </c>
      <c t="str" s="30" r="G401">
        <f>HYPERLINK("http://sofifa.com/en/14w/p/n/46","Swe")</f>
        <v>Swe</v>
      </c>
      <c t="str" s="30" r="H401">
        <f>HYPERLINK("http://sofifa.com/en/14w/p/146244-jonas-olsson","J. Olsson")</f>
        <v>J. Olsson</v>
      </c>
      <c s="21" r="I401">
        <v>76</v>
      </c>
      <c t="s" s="21" r="J401">
        <v>75</v>
      </c>
      <c t="s" s="21" r="K401">
        <v>91</v>
      </c>
      <c s="21" r="L401">
        <v>30</v>
      </c>
      <c s="42" r="M401">
        <v>4.1</v>
      </c>
      <c s="42" r="N401">
        <v>0.017</v>
      </c>
      <c s="42" r="O401"/>
      <c s="42" r="P401">
        <f>IF((O401&gt;0),N401,0)</f>
        <v>0</v>
      </c>
      <c s="42" r="Q401"/>
    </row>
    <row r="402">
      <c t="s" s="42" r="A402">
        <v>41</v>
      </c>
      <c s="42" r="B402">
        <v>401</v>
      </c>
      <c s="21" r="C402">
        <v>6</v>
      </c>
      <c t="s" s="21" r="D402">
        <v>78</v>
      </c>
      <c t="s" s="42" r="E402">
        <v>42</v>
      </c>
      <c t="s" s="42" r="F402">
        <v>42</v>
      </c>
      <c t="str" s="30" r="G402">
        <f>HYPERLINK("http://sofifa.com/en/14w/p/n/14","Eng")</f>
        <v>Eng</v>
      </c>
      <c t="str" s="30" r="H402">
        <f>HYPERLINK("http://sofifa.com/en/14w/p/146743-liam-ridgewell","L. Ridgewell")</f>
        <v>L. Ridgewell</v>
      </c>
      <c s="21" r="I402">
        <v>69</v>
      </c>
      <c t="s" s="21" r="J402">
        <v>78</v>
      </c>
      <c t="s" s="21" r="K402">
        <v>99</v>
      </c>
      <c s="21" r="L402">
        <v>28</v>
      </c>
      <c s="42" r="M402">
        <v>1.5</v>
      </c>
      <c s="42" r="N402">
        <v>0.007</v>
      </c>
      <c s="42" r="O402"/>
      <c s="42" r="P402">
        <f>IF((O402&gt;0),N402,0)</f>
        <v>0</v>
      </c>
      <c s="42" r="Q402"/>
    </row>
    <row r="403">
      <c t="s" s="42" r="A403">
        <v>41</v>
      </c>
      <c s="42" r="B403">
        <v>402</v>
      </c>
      <c s="21" r="C403">
        <v>21</v>
      </c>
      <c t="s" s="21" r="D403">
        <v>80</v>
      </c>
      <c t="s" s="42" r="E403">
        <v>42</v>
      </c>
      <c t="s" s="42" r="F403">
        <v>42</v>
      </c>
      <c t="str" s="30" r="G403">
        <f>HYPERLINK("http://sofifa.com/en/14w/p/n/110","DR ")</f>
        <v>DR </v>
      </c>
      <c t="str" s="30" r="H403">
        <f>HYPERLINK("http://sofifa.com/en/14w/p/147661-youssouf-mulumbu","Y. Mulumbu")</f>
        <v>Y. Mulumbu</v>
      </c>
      <c s="21" r="I403">
        <v>76</v>
      </c>
      <c t="s" s="21" r="J403">
        <v>98</v>
      </c>
      <c t="s" s="21" r="K403">
        <v>82</v>
      </c>
      <c s="21" r="L403">
        <v>26</v>
      </c>
      <c s="42" r="M403">
        <v>4.5</v>
      </c>
      <c s="42" r="N403">
        <v>0.015</v>
      </c>
      <c s="42" r="O403"/>
      <c s="42" r="P403">
        <f>IF((O403&gt;0),N403,0)</f>
        <v>0</v>
      </c>
      <c s="42" r="Q403"/>
    </row>
    <row r="404">
      <c t="s" s="42" r="A404">
        <v>41</v>
      </c>
      <c s="42" r="B404">
        <v>403</v>
      </c>
      <c s="21" r="C404">
        <v>5</v>
      </c>
      <c t="s" s="21" r="D404">
        <v>83</v>
      </c>
      <c t="s" s="42" r="E404">
        <v>42</v>
      </c>
      <c t="s" s="42" r="F404">
        <v>42</v>
      </c>
      <c t="str" s="30" r="G404">
        <f>HYPERLINK("http://sofifa.com/en/14w/p/n/52","Arg")</f>
        <v>Arg</v>
      </c>
      <c t="str" s="30" r="H404">
        <f>HYPERLINK("http://sofifa.com/en/14w/p/147835-claudio-yacob","C. Yacob")</f>
        <v>C. Yacob</v>
      </c>
      <c s="21" r="I404">
        <v>78</v>
      </c>
      <c t="s" s="21" r="J404">
        <v>98</v>
      </c>
      <c t="s" s="21" r="K404">
        <v>79</v>
      </c>
      <c s="21" r="L404">
        <v>25</v>
      </c>
      <c s="42" r="M404">
        <v>6.1</v>
      </c>
      <c s="42" r="N404">
        <v>0.019</v>
      </c>
      <c s="42" r="O404"/>
      <c s="42" r="P404">
        <f>IF((O404&gt;0),N404,0)</f>
        <v>0</v>
      </c>
      <c s="42" r="Q404"/>
    </row>
    <row r="405">
      <c t="s" s="42" r="A405">
        <v>41</v>
      </c>
      <c s="42" r="B405">
        <v>404</v>
      </c>
      <c s="21" r="C405">
        <v>18</v>
      </c>
      <c t="s" s="21" r="D405">
        <v>84</v>
      </c>
      <c t="s" s="42" r="E405">
        <v>42</v>
      </c>
      <c t="s" s="42" r="F405">
        <v>42</v>
      </c>
      <c t="str" s="30" r="G405">
        <f>HYPERLINK("http://sofifa.com/en/14w/p/n/18","Fra")</f>
        <v>Fra</v>
      </c>
      <c t="str" s="30" r="H405">
        <f>HYPERLINK("http://sofifa.com/en/14w/p/146985-morgan-amalfitano","M. Amalfitano")</f>
        <v>M. Amalfitano</v>
      </c>
      <c s="21" r="I405">
        <v>74</v>
      </c>
      <c t="s" s="21" r="J405">
        <v>84</v>
      </c>
      <c t="s" s="21" r="K405">
        <v>94</v>
      </c>
      <c s="21" r="L405">
        <v>28</v>
      </c>
      <c s="42" r="M405">
        <v>3.3</v>
      </c>
      <c s="42" r="N405">
        <v>0.011</v>
      </c>
      <c s="42" r="O405"/>
      <c s="42" r="P405">
        <f>IF((O405&gt;0),N405,0)</f>
        <v>0</v>
      </c>
      <c s="42" r="Q405"/>
    </row>
    <row r="406">
      <c t="s" s="42" r="A406">
        <v>41</v>
      </c>
      <c s="42" r="B406">
        <v>405</v>
      </c>
      <c s="21" r="C406">
        <v>38</v>
      </c>
      <c t="s" s="21" r="D406">
        <v>87</v>
      </c>
      <c t="s" s="42" r="E406">
        <v>42</v>
      </c>
      <c t="s" s="42" r="F406">
        <v>42</v>
      </c>
      <c t="str" s="30" r="G406">
        <f>HYPERLINK("http://sofifa.com/en/14w/p/n/14","Eng")</f>
        <v>Eng</v>
      </c>
      <c t="str" s="30" r="H406">
        <f>HYPERLINK("http://sofifa.com/en/14w/p/150044-saido-berahino","S. Berahino")</f>
        <v>S. Berahino</v>
      </c>
      <c s="21" r="I406">
        <v>60</v>
      </c>
      <c t="s" s="21" r="J406">
        <v>90</v>
      </c>
      <c t="s" s="21" r="K406">
        <v>79</v>
      </c>
      <c s="21" r="L406">
        <v>19</v>
      </c>
      <c s="42" r="M406">
        <v>0.7</v>
      </c>
      <c s="42" r="N406">
        <v>0.003</v>
      </c>
      <c s="42" r="O406"/>
      <c s="42" r="P406">
        <f>IF((O406&gt;0),N406,0)</f>
        <v>0</v>
      </c>
      <c s="42" r="Q406"/>
    </row>
    <row r="407">
      <c t="s" s="42" r="A407">
        <v>41</v>
      </c>
      <c s="42" r="B407">
        <v>406</v>
      </c>
      <c s="21" r="C407">
        <v>29</v>
      </c>
      <c t="s" s="21" r="D407">
        <v>88</v>
      </c>
      <c t="s" s="42" r="E407">
        <v>42</v>
      </c>
      <c t="s" s="42" r="F407">
        <v>42</v>
      </c>
      <c t="str" s="30" r="G407">
        <f>HYPERLINK("http://sofifa.com/en/14w/p/n/99","Ben")</f>
        <v>Ben</v>
      </c>
      <c t="str" s="30" r="H407">
        <f>HYPERLINK("http://sofifa.com/en/14w/p/146693-stephane-sessegnon","S. Sessègnon")</f>
        <v>S. Sessègnon</v>
      </c>
      <c s="21" r="I407">
        <v>77</v>
      </c>
      <c t="s" s="21" r="J407">
        <v>88</v>
      </c>
      <c t="s" s="21" r="K407">
        <v>86</v>
      </c>
      <c s="21" r="L407">
        <v>29</v>
      </c>
      <c s="42" r="M407">
        <v>5.8</v>
      </c>
      <c s="42" r="N407">
        <v>0.018</v>
      </c>
      <c s="42" r="O407"/>
      <c s="42" r="P407">
        <f>IF((O407&gt;0),N407,0)</f>
        <v>0</v>
      </c>
      <c s="42" r="Q407"/>
    </row>
    <row r="408">
      <c t="s" s="42" r="A408">
        <v>41</v>
      </c>
      <c s="42" r="B408">
        <v>407</v>
      </c>
      <c s="21" r="C408">
        <v>16</v>
      </c>
      <c t="s" s="21" r="D408">
        <v>90</v>
      </c>
      <c t="s" s="42" r="E408">
        <v>42</v>
      </c>
      <c t="s" s="42" r="F408">
        <v>42</v>
      </c>
      <c t="str" s="30" r="G408">
        <f>HYPERLINK("http://sofifa.com/en/14w/p/n/133","Nig")</f>
        <v>Nig</v>
      </c>
      <c t="str" s="30" r="H408">
        <f>HYPERLINK("http://sofifa.com/en/14w/p/148115-victor-anichebe","V. Anichebe")</f>
        <v>V. Anichebe</v>
      </c>
      <c s="21" r="I408">
        <v>72</v>
      </c>
      <c t="s" s="21" r="J408">
        <v>90</v>
      </c>
      <c t="s" s="21" r="K408">
        <v>95</v>
      </c>
      <c s="21" r="L408">
        <v>25</v>
      </c>
      <c s="42" r="M408">
        <v>3.1</v>
      </c>
      <c s="42" r="N408">
        <v>0.009</v>
      </c>
      <c s="42" r="O408"/>
      <c s="42" r="P408">
        <f>IF((O408&gt;0),N408,0)</f>
        <v>0</v>
      </c>
      <c s="42" r="Q408"/>
    </row>
    <row r="409">
      <c t="s" s="42" r="A409">
        <v>41</v>
      </c>
      <c s="42" r="B409">
        <v>408</v>
      </c>
      <c s="21" r="C409">
        <v>19</v>
      </c>
      <c t="s" s="21" r="D409">
        <v>92</v>
      </c>
      <c t="s" s="42" r="E409">
        <v>42</v>
      </c>
      <c t="s" s="42" r="F409">
        <v>42</v>
      </c>
      <c t="str" s="30" r="G409">
        <f>HYPERLINK("http://sofifa.com/en/14w/p/n/14","Eng")</f>
        <v>Eng</v>
      </c>
      <c t="str" s="30" r="H409">
        <f>HYPERLINK("http://sofifa.com/en/14w/p/148006-luke-daniels","L. Daniels")</f>
        <v>L. Daniels</v>
      </c>
      <c s="21" r="I409">
        <v>60</v>
      </c>
      <c t="s" s="21" r="J409">
        <v>70</v>
      </c>
      <c t="s" s="21" r="K409">
        <v>91</v>
      </c>
      <c s="21" r="L409">
        <v>25</v>
      </c>
      <c s="42" r="M409">
        <v>0.4</v>
      </c>
      <c s="42" r="N409">
        <v>0.003</v>
      </c>
      <c s="42" r="O409"/>
      <c s="42" r="P409">
        <f>IF((O409&gt;0),N409,0)</f>
        <v>0</v>
      </c>
      <c s="42" r="Q409"/>
    </row>
    <row r="410">
      <c t="s" s="42" r="A410">
        <v>41</v>
      </c>
      <c s="42" r="B410">
        <v>409</v>
      </c>
      <c s="21" r="C410">
        <v>25</v>
      </c>
      <c t="s" s="21" r="D410">
        <v>92</v>
      </c>
      <c t="s" s="42" r="E410">
        <v>42</v>
      </c>
      <c t="s" s="42" r="F410">
        <v>42</v>
      </c>
      <c t="str" s="30" r="G410">
        <f>HYPERLINK("http://sofifa.com/en/14w/p/n/14","Eng")</f>
        <v>Eng</v>
      </c>
      <c t="str" s="30" r="H410">
        <f>HYPERLINK("http://sofifa.com/en/14w/p/148858-craig-dawson","C. Dawson")</f>
        <v>C. Dawson</v>
      </c>
      <c s="21" r="I410">
        <v>68</v>
      </c>
      <c t="s" s="21" r="J410">
        <v>75</v>
      </c>
      <c t="s" s="21" r="K410">
        <v>99</v>
      </c>
      <c s="21" r="L410">
        <v>23</v>
      </c>
      <c s="42" r="M410">
        <v>1.6</v>
      </c>
      <c s="42" r="N410">
        <v>0.006</v>
      </c>
      <c s="42" r="O410"/>
      <c s="42" r="P410">
        <f>IF((O410&gt;0),N410,0)</f>
        <v>0</v>
      </c>
      <c s="42" r="Q410"/>
    </row>
    <row r="411">
      <c t="s" s="42" r="A411">
        <v>41</v>
      </c>
      <c s="42" r="B411">
        <v>410</v>
      </c>
      <c s="21" r="C411">
        <v>20</v>
      </c>
      <c t="s" s="21" r="D411">
        <v>92</v>
      </c>
      <c t="s" s="42" r="E411">
        <v>42</v>
      </c>
      <c t="s" s="42" r="F411">
        <v>42</v>
      </c>
      <c t="str" s="30" r="G411">
        <f>HYPERLINK("http://sofifa.com/en/14w/p/n/12","Cze")</f>
        <v>Cze</v>
      </c>
      <c t="str" s="30" r="H411">
        <f>HYPERLINK("http://sofifa.com/en/14w/p/149584-matej-vydra","M. Vydra")</f>
        <v>M. Vydra</v>
      </c>
      <c s="21" r="I411">
        <v>74</v>
      </c>
      <c t="s" s="21" r="J411">
        <v>90</v>
      </c>
      <c t="s" s="21" r="K411">
        <v>79</v>
      </c>
      <c s="21" r="L411">
        <v>21</v>
      </c>
      <c s="42" r="M411">
        <v>4.4</v>
      </c>
      <c s="42" r="N411">
        <v>0.009</v>
      </c>
      <c s="42" r="O411"/>
      <c s="42" r="P411">
        <f>IF((O411&gt;0),N411,0)</f>
        <v>0</v>
      </c>
      <c s="42" r="Q411"/>
    </row>
    <row r="412">
      <c t="s" s="42" r="A412">
        <v>41</v>
      </c>
      <c s="42" r="B412">
        <v>411</v>
      </c>
      <c s="21" r="C412">
        <v>17</v>
      </c>
      <c t="s" s="21" r="D412">
        <v>92</v>
      </c>
      <c t="s" s="42" r="E412">
        <v>42</v>
      </c>
      <c t="s" s="42" r="F412">
        <v>42</v>
      </c>
      <c t="str" s="30" r="G412">
        <f>HYPERLINK("http://sofifa.com/en/14w/p/n/42","Sco")</f>
        <v>Sco</v>
      </c>
      <c t="str" s="30" r="H412">
        <f>HYPERLINK("http://sofifa.com/en/14w/p/147761-graham-dorrans","G. Dorrans")</f>
        <v>G. Dorrans</v>
      </c>
      <c s="21" r="I412">
        <v>73</v>
      </c>
      <c t="s" s="21" r="J412">
        <v>81</v>
      </c>
      <c t="s" s="21" r="K412">
        <v>94</v>
      </c>
      <c s="21" r="L412">
        <v>26</v>
      </c>
      <c s="42" r="M412">
        <v>2.9</v>
      </c>
      <c s="42" r="N412">
        <v>0.01</v>
      </c>
      <c s="42" r="O412"/>
      <c s="42" r="P412">
        <f>IF((O412&gt;0),N412,0)</f>
        <v>0</v>
      </c>
      <c s="42" r="Q412"/>
    </row>
    <row r="413">
      <c t="s" s="42" r="A413">
        <v>41</v>
      </c>
      <c s="42" r="B413">
        <v>412</v>
      </c>
      <c s="21" r="C413">
        <v>10</v>
      </c>
      <c t="s" s="21" r="D413">
        <v>92</v>
      </c>
      <c t="s" s="42" r="E413">
        <v>42</v>
      </c>
      <c t="s" s="42" r="F413">
        <v>42</v>
      </c>
      <c t="str" s="30" r="G413">
        <f>HYPERLINK("http://sofifa.com/en/14w/p/n/14","Eng")</f>
        <v>Eng</v>
      </c>
      <c t="str" s="30" r="H413">
        <f>HYPERLINK("http://sofifa.com/en/14w/p/148451-scott-sinclair","S. Sinclair")</f>
        <v>S. Sinclair</v>
      </c>
      <c s="21" r="I413">
        <v>73</v>
      </c>
      <c t="s" s="21" r="J413">
        <v>87</v>
      </c>
      <c t="s" s="21" r="K413">
        <v>82</v>
      </c>
      <c s="21" r="L413">
        <v>24</v>
      </c>
      <c s="42" r="M413">
        <v>3.3</v>
      </c>
      <c s="42" r="N413">
        <v>0.01</v>
      </c>
      <c s="42" r="O413"/>
      <c s="42" r="P413">
        <f>IF((O413&gt;0),N413,0)</f>
        <v>0</v>
      </c>
      <c s="42" r="Q413"/>
    </row>
    <row r="414">
      <c t="s" s="42" r="A414">
        <v>41</v>
      </c>
      <c s="42" r="B414">
        <v>413</v>
      </c>
      <c s="21" r="C414">
        <v>39</v>
      </c>
      <c t="s" s="21" r="D414">
        <v>92</v>
      </c>
      <c t="s" s="42" r="E414">
        <v>42</v>
      </c>
      <c t="s" s="42" r="F414">
        <v>42</v>
      </c>
      <c t="str" s="30" r="G414">
        <f>HYPERLINK("http://sofifa.com/en/14w/p/n/18","Fra")</f>
        <v>Fra</v>
      </c>
      <c t="str" s="30" r="H414">
        <f>HYPERLINK("http://sofifa.com/en/14w/p/144787-nicolas-anelka","N. Anelka")</f>
        <v>N. Anelka</v>
      </c>
      <c s="21" r="I414">
        <v>80</v>
      </c>
      <c t="s" s="21" r="J414">
        <v>90</v>
      </c>
      <c t="s" s="21" r="K414">
        <v>73</v>
      </c>
      <c s="21" r="L414">
        <v>34</v>
      </c>
      <c s="42" r="M414">
        <v>7.5</v>
      </c>
      <c s="42" r="N414">
        <v>0.038</v>
      </c>
      <c s="42" r="O414"/>
      <c s="42" r="P414">
        <f>IF((O414&gt;0),N414,0)</f>
        <v>0</v>
      </c>
      <c s="42" r="Q414"/>
    </row>
    <row r="415">
      <c t="s" s="42" r="A415">
        <v>41</v>
      </c>
      <c s="42" r="B415">
        <v>414</v>
      </c>
      <c s="21" r="C415">
        <v>1</v>
      </c>
      <c t="s" s="21" r="D415">
        <v>92</v>
      </c>
      <c t="s" s="42" r="E415">
        <v>42</v>
      </c>
      <c t="s" s="42" r="F415">
        <v>42</v>
      </c>
      <c t="str" s="30" r="G415">
        <f>HYPERLINK("http://sofifa.com/en/14w/p/n/14","Eng")</f>
        <v>Eng</v>
      </c>
      <c t="str" s="30" r="H415">
        <f>HYPERLINK("http://sofifa.com/en/14w/p/146268-ben-foster","B. Foster")</f>
        <v>B. Foster</v>
      </c>
      <c s="21" r="I415">
        <v>78</v>
      </c>
      <c t="s" s="21" r="J415">
        <v>70</v>
      </c>
      <c t="s" s="21" r="K415">
        <v>91</v>
      </c>
      <c s="21" r="L415">
        <v>30</v>
      </c>
      <c s="42" r="M415">
        <v>4.6</v>
      </c>
      <c s="42" r="N415">
        <v>0.021</v>
      </c>
      <c s="42" r="O415"/>
      <c s="42" r="P415">
        <f>IF((O415&gt;0),N415,0)</f>
        <v>0</v>
      </c>
      <c s="42" r="Q415"/>
    </row>
    <row r="416">
      <c t="s" s="42" r="A416">
        <v>41</v>
      </c>
      <c s="42" r="B416">
        <v>415</v>
      </c>
      <c s="21" r="C416">
        <v>8</v>
      </c>
      <c t="s" s="21" r="D416">
        <v>92</v>
      </c>
      <c t="s" s="42" r="E416">
        <v>42</v>
      </c>
      <c t="s" s="42" r="F416">
        <v>42</v>
      </c>
      <c t="str" s="30" r="G416">
        <f>HYPERLINK("http://sofifa.com/en/14w/p/n/46","Swe")</f>
        <v>Swe</v>
      </c>
      <c t="str" s="30" r="H416">
        <f>HYPERLINK("http://sofifa.com/en/14w/p/146080-markus-rosenberg","M. Rosenberg")</f>
        <v>M. Rosenberg</v>
      </c>
      <c s="21" r="I416">
        <v>72</v>
      </c>
      <c t="s" s="21" r="J416">
        <v>90</v>
      </c>
      <c t="s" s="21" r="K416">
        <v>73</v>
      </c>
      <c s="21" r="L416">
        <v>30</v>
      </c>
      <c s="42" r="M416">
        <v>2.6</v>
      </c>
      <c s="42" r="N416">
        <v>0.01</v>
      </c>
      <c s="42" r="O416"/>
      <c s="42" r="P416">
        <f>IF((O416&gt;0),N416,0)</f>
        <v>0</v>
      </c>
      <c s="42" r="Q416"/>
    </row>
    <row r="417">
      <c t="s" s="42" r="A417">
        <v>41</v>
      </c>
      <c s="42" r="B417">
        <v>416</v>
      </c>
      <c s="21" r="C417">
        <v>11</v>
      </c>
      <c t="s" s="21" r="D417">
        <v>92</v>
      </c>
      <c t="s" s="42" r="E417">
        <v>42</v>
      </c>
      <c t="s" s="42" r="F417">
        <v>42</v>
      </c>
      <c t="str" s="30" r="G417">
        <f>HYPERLINK("http://sofifa.com/en/14w/p/n/35","Nor")</f>
        <v>Nor</v>
      </c>
      <c t="str" s="30" r="H417">
        <f>HYPERLINK("http://sofifa.com/en/14w/p/146889-chris-brunt","C. Brunt")</f>
        <v>C. Brunt</v>
      </c>
      <c s="21" r="I417">
        <v>75</v>
      </c>
      <c t="s" s="21" r="J417">
        <v>87</v>
      </c>
      <c t="s" s="21" r="K417">
        <v>73</v>
      </c>
      <c s="21" r="L417">
        <v>28</v>
      </c>
      <c s="42" r="M417">
        <v>4.3</v>
      </c>
      <c s="42" r="N417">
        <v>0.013</v>
      </c>
      <c s="42" r="O417"/>
      <c s="42" r="P417">
        <f>IF((O417&gt;0),N417,0)</f>
        <v>0</v>
      </c>
      <c s="42" r="Q417"/>
    </row>
    <row r="418">
      <c t="s" s="42" r="A418">
        <v>41</v>
      </c>
      <c s="42" r="B418">
        <v>417</v>
      </c>
      <c s="21" r="C418">
        <v>14</v>
      </c>
      <c t="s" s="21" r="D418">
        <v>92</v>
      </c>
      <c t="s" s="42" r="E418">
        <v>42</v>
      </c>
      <c t="s" s="42" r="F418">
        <v>42</v>
      </c>
      <c t="str" s="30" r="G418">
        <f>HYPERLINK("http://sofifa.com/en/14w/p/n/60","Uru")</f>
        <v>Uru</v>
      </c>
      <c t="str" s="30" r="H418">
        <f>HYPERLINK("http://sofifa.com/en/14w/p/145386-diego-lugano","D. Lugano")</f>
        <v>D. Lugano</v>
      </c>
      <c s="21" r="I418">
        <v>76</v>
      </c>
      <c t="s" s="21" r="J418">
        <v>75</v>
      </c>
      <c t="s" s="21" r="K418">
        <v>99</v>
      </c>
      <c s="21" r="L418">
        <v>32</v>
      </c>
      <c s="42" r="M418">
        <v>3.6</v>
      </c>
      <c s="42" r="N418">
        <v>0.018</v>
      </c>
      <c s="42" r="O418"/>
      <c s="42" r="P418">
        <f>IF((O418&gt;0),N418,0)</f>
        <v>0</v>
      </c>
      <c s="42" r="Q418"/>
    </row>
    <row r="419">
      <c t="s" s="42" r="A419">
        <v>41</v>
      </c>
      <c s="42" r="B419">
        <v>418</v>
      </c>
      <c s="21" r="C419">
        <v>4</v>
      </c>
      <c t="s" s="21" r="D419">
        <v>92</v>
      </c>
      <c t="s" s="42" r="E419">
        <v>42</v>
      </c>
      <c t="s" s="42" r="F419">
        <v>42</v>
      </c>
      <c t="str" s="30" r="G419">
        <f>HYPERLINK("http://sofifa.com/en/14w/p/n/19","FYR")</f>
        <v>FYR</v>
      </c>
      <c t="str" s="30" r="H419">
        <f>HYPERLINK("http://sofifa.com/en/14w/p/146816-goran-popov","G. Popov")</f>
        <v>G. Popov</v>
      </c>
      <c s="21" r="I419">
        <v>67</v>
      </c>
      <c t="s" s="21" r="J419">
        <v>78</v>
      </c>
      <c t="s" s="21" r="K419">
        <v>99</v>
      </c>
      <c s="21" r="L419">
        <v>28</v>
      </c>
      <c s="42" r="M419">
        <v>1.2</v>
      </c>
      <c s="42" r="N419">
        <v>0.006</v>
      </c>
      <c s="42" r="O419"/>
      <c s="42" r="P419">
        <f>IF((O419&gt;0),N419,0)</f>
        <v>0</v>
      </c>
      <c s="42" r="Q419"/>
    </row>
    <row r="420">
      <c t="s" s="42" r="A420">
        <v>41</v>
      </c>
      <c s="42" r="B420">
        <v>419</v>
      </c>
      <c s="21" r="C420">
        <v>7</v>
      </c>
      <c t="s" s="21" r="D420">
        <v>92</v>
      </c>
      <c t="s" s="42" r="E420">
        <v>42</v>
      </c>
      <c t="s" s="42" r="F420">
        <v>42</v>
      </c>
      <c t="str" s="30" r="G420">
        <f>HYPERLINK("http://sofifa.com/en/14w/p/n/42","Sco")</f>
        <v>Sco</v>
      </c>
      <c t="str" s="30" r="H420">
        <f>HYPERLINK("http://sofifa.com/en/14w/p/147416-james-morrison","J. Morrison")</f>
        <v>J. Morrison</v>
      </c>
      <c s="21" r="I420">
        <v>75</v>
      </c>
      <c t="s" s="21" r="J420">
        <v>88</v>
      </c>
      <c t="s" s="21" r="K420">
        <v>82</v>
      </c>
      <c s="21" r="L420">
        <v>27</v>
      </c>
      <c s="42" r="M420">
        <v>4.6</v>
      </c>
      <c s="42" r="N420">
        <v>0.013</v>
      </c>
      <c s="42" r="O420"/>
      <c s="42" r="P420">
        <f>IF((O420&gt;0),N420,0)</f>
        <v>0</v>
      </c>
      <c s="42" r="Q420"/>
    </row>
    <row r="421">
      <c t="s" s="42" r="A421">
        <v>41</v>
      </c>
      <c s="42" r="B421">
        <v>420</v>
      </c>
      <c s="21" r="C421">
        <v>42</v>
      </c>
      <c t="s" s="21" r="D421">
        <v>97</v>
      </c>
      <c t="s" s="42" r="E421">
        <v>42</v>
      </c>
      <c t="s" s="42" r="F421">
        <v>42</v>
      </c>
      <c t="str" s="30" r="G421">
        <f>HYPERLINK("http://sofifa.com/en/14w/p/n/14","Eng")</f>
        <v>Eng</v>
      </c>
      <c t="str" s="30" r="H421">
        <f>HYPERLINK("http://sofifa.com/en/14w/p/150156-donervon-daniels","D. Daniels")</f>
        <v>D. Daniels</v>
      </c>
      <c s="21" r="I421">
        <v>61</v>
      </c>
      <c t="s" s="21" r="J421">
        <v>75</v>
      </c>
      <c t="s" s="21" r="K421">
        <v>73</v>
      </c>
      <c s="21" r="L421">
        <v>19</v>
      </c>
      <c s="42" r="M421">
        <v>0.7</v>
      </c>
      <c s="42" r="N421">
        <v>0.003</v>
      </c>
      <c s="42" r="O421"/>
      <c s="42" r="P421">
        <f>IF((O421&gt;0),N421,0)</f>
        <v>0</v>
      </c>
      <c s="42" r="Q421"/>
    </row>
    <row r="422">
      <c t="s" s="42" r="A422">
        <v>41</v>
      </c>
      <c s="42" r="B422">
        <v>421</v>
      </c>
      <c s="21" r="C422">
        <v>40</v>
      </c>
      <c t="s" s="21" r="D422">
        <v>97</v>
      </c>
      <c t="s" s="42" r="E422">
        <v>42</v>
      </c>
      <c t="s" s="42" r="F422">
        <v>42</v>
      </c>
      <c t="str" s="30" r="G422">
        <f>HYPERLINK("http://sofifa.com/en/14w/p/n/14","Eng")</f>
        <v>Eng</v>
      </c>
      <c t="str" s="30" r="H422">
        <f>HYPERLINK("http://sofifa.com/en/14w/p/150040-liam-oneil","L. O'Neil")</f>
        <v>L. O'Neil</v>
      </c>
      <c s="21" r="I422">
        <v>59</v>
      </c>
      <c t="s" s="21" r="J422">
        <v>75</v>
      </c>
      <c t="s" s="21" r="K422">
        <v>79</v>
      </c>
      <c s="21" r="L422">
        <v>19</v>
      </c>
      <c s="42" r="M422">
        <v>0.4</v>
      </c>
      <c s="42" r="N422">
        <v>0.002</v>
      </c>
      <c s="42" r="O422"/>
      <c s="42" r="P422">
        <f>IF((O422&gt;0),N422,0)</f>
        <v>0</v>
      </c>
      <c s="42" r="Q422"/>
    </row>
    <row r="423">
      <c t="s" s="42" r="A423">
        <v>41</v>
      </c>
      <c s="42" r="B423">
        <v>422</v>
      </c>
      <c s="21" r="C423">
        <v>34</v>
      </c>
      <c t="s" s="21" r="D423">
        <v>97</v>
      </c>
      <c t="s" s="42" r="E423">
        <v>42</v>
      </c>
      <c t="s" s="42" r="F423">
        <v>42</v>
      </c>
      <c t="str" s="30" r="G423">
        <f>HYPERLINK("http://sofifa.com/en/14w/p/n/14","Eng")</f>
        <v>Eng</v>
      </c>
      <c t="str" s="30" r="H423">
        <f>HYPERLINK("http://sofifa.com/en/14w/p/149834-kemar-roofe","K. Roofe")</f>
        <v>K. Roofe</v>
      </c>
      <c s="21" r="I423">
        <v>60</v>
      </c>
      <c t="s" s="21" r="J423">
        <v>87</v>
      </c>
      <c t="s" s="21" r="K423">
        <v>82</v>
      </c>
      <c s="21" r="L423">
        <v>20</v>
      </c>
      <c s="42" r="M423">
        <v>0.6</v>
      </c>
      <c s="42" r="N423">
        <v>0.003</v>
      </c>
      <c s="42" r="O423"/>
      <c s="42" r="P423">
        <f>IF((O423&gt;0),N423,0)</f>
        <v>0</v>
      </c>
      <c s="42" r="Q423"/>
    </row>
    <row r="424">
      <c t="s" s="42" r="A424">
        <v>41</v>
      </c>
      <c s="42" r="B424">
        <v>423</v>
      </c>
      <c s="21" r="C424">
        <v>36</v>
      </c>
      <c t="s" s="21" r="D424">
        <v>97</v>
      </c>
      <c t="s" s="42" r="E424">
        <v>42</v>
      </c>
      <c t="s" s="42" r="F424">
        <v>42</v>
      </c>
      <c t="str" s="30" r="G424">
        <f>HYPERLINK("http://sofifa.com/en/14w/p/n/14","Eng")</f>
        <v>Eng</v>
      </c>
      <c t="str" s="30" r="H424">
        <f>HYPERLINK("http://sofifa.com/en/14w/p/150252-adil-nabi","A. Nabi")</f>
        <v>A. Nabi</v>
      </c>
      <c s="21" r="I424">
        <v>60</v>
      </c>
      <c t="s" s="21" r="J424">
        <v>90</v>
      </c>
      <c t="s" s="21" r="K424">
        <v>94</v>
      </c>
      <c s="21" r="L424">
        <v>19</v>
      </c>
      <c s="42" r="M424">
        <v>0.7</v>
      </c>
      <c s="42" r="N424">
        <v>0.003</v>
      </c>
      <c s="42" r="O424"/>
      <c s="42" r="P424">
        <f>IF((O424&gt;0),N424,0)</f>
        <v>0</v>
      </c>
      <c s="42" r="Q424"/>
    </row>
    <row r="425">
      <c t="s" s="42" r="A425">
        <v>41</v>
      </c>
      <c s="42" r="B425">
        <v>424</v>
      </c>
      <c s="21" r="C425">
        <v>2</v>
      </c>
      <c t="s" s="21" r="D425">
        <v>97</v>
      </c>
      <c t="s" s="42" r="E425">
        <v>42</v>
      </c>
      <c t="s" s="42" r="F425">
        <v>42</v>
      </c>
      <c t="str" s="30" r="G425">
        <f>HYPERLINK("http://sofifa.com/en/14w/p/n/25","Rep")</f>
        <v>Rep</v>
      </c>
      <c t="str" s="30" r="H425">
        <f>HYPERLINK("http://sofifa.com/en/14w/p/145514-steven-reid","S. Reid")</f>
        <v>S. Reid</v>
      </c>
      <c s="21" r="I425">
        <v>70</v>
      </c>
      <c t="s" s="21" r="J425">
        <v>72</v>
      </c>
      <c t="s" s="21" r="K425">
        <v>79</v>
      </c>
      <c s="21" r="L425">
        <v>32</v>
      </c>
      <c s="42" r="M425">
        <v>1.3</v>
      </c>
      <c s="42" r="N425">
        <v>0.008</v>
      </c>
      <c s="42" r="O425"/>
      <c s="42" r="P425">
        <f>IF((O425&gt;0),N425,0)</f>
        <v>0</v>
      </c>
      <c s="42" r="Q425"/>
    </row>
    <row r="426">
      <c t="s" s="42" r="A426">
        <v>41</v>
      </c>
      <c s="42" r="B426">
        <v>425</v>
      </c>
      <c s="21" r="C426">
        <v>15</v>
      </c>
      <c t="s" s="21" r="D426">
        <v>97</v>
      </c>
      <c t="s" s="42" r="E426">
        <v>42</v>
      </c>
      <c t="s" s="42" r="F426">
        <v>42</v>
      </c>
      <c t="str" s="30" r="G426">
        <f>HYPERLINK("http://sofifa.com/en/14w/p/n/14","Eng")</f>
        <v>Eng</v>
      </c>
      <c t="str" s="30" r="H426">
        <f>HYPERLINK("http://sofifa.com/en/14w/p/149832-george-thorne","G. Thorne")</f>
        <v>G. Thorne</v>
      </c>
      <c s="21" r="I426">
        <v>63</v>
      </c>
      <c t="s" s="21" r="J426">
        <v>81</v>
      </c>
      <c t="s" s="21" r="K426">
        <v>99</v>
      </c>
      <c s="21" r="L426">
        <v>20</v>
      </c>
      <c s="42" r="M426">
        <v>0.9</v>
      </c>
      <c s="42" r="N426">
        <v>0.003</v>
      </c>
      <c s="42" r="O426"/>
      <c s="42" r="P426">
        <f>IF((O426&gt;0),N426,0)</f>
        <v>0</v>
      </c>
      <c s="42" r="Q426"/>
    </row>
    <row r="427">
      <c t="s" s="42" r="A427">
        <v>41</v>
      </c>
      <c s="42" r="B427">
        <v>426</v>
      </c>
      <c s="21" r="C427">
        <v>9</v>
      </c>
      <c t="s" s="21" r="D427">
        <v>97</v>
      </c>
      <c t="s" s="42" r="E427">
        <v>42</v>
      </c>
      <c t="s" s="42" r="F427">
        <v>42</v>
      </c>
      <c t="str" s="30" r="G427">
        <f>HYPERLINK("http://sofifa.com/en/14w/p/n/25","Rep")</f>
        <v>Rep</v>
      </c>
      <c t="str" s="30" r="H427">
        <f>HYPERLINK("http://sofifa.com/en/14w/p/147658-shane-long","S. Long")</f>
        <v>S. Long</v>
      </c>
      <c s="21" r="I427">
        <v>74</v>
      </c>
      <c t="s" s="21" r="J427">
        <v>90</v>
      </c>
      <c t="s" s="21" r="K427">
        <v>79</v>
      </c>
      <c s="21" r="L427">
        <v>26</v>
      </c>
      <c s="42" r="M427">
        <v>4</v>
      </c>
      <c s="42" r="N427">
        <v>0.011</v>
      </c>
      <c s="42" r="O427"/>
      <c s="42" r="P427">
        <f>IF((O427&gt;0),N427,0)</f>
        <v>0</v>
      </c>
      <c s="42" r="Q427"/>
    </row>
    <row r="428">
      <c t="s" s="42" r="A428">
        <v>41</v>
      </c>
      <c s="42" r="B428">
        <v>427</v>
      </c>
      <c s="21" r="C428">
        <v>12</v>
      </c>
      <c t="s" s="21" r="D428">
        <v>97</v>
      </c>
      <c t="s" s="42" r="E428">
        <v>42</v>
      </c>
      <c t="s" s="42" r="F428">
        <v>42</v>
      </c>
      <c t="str" s="30" r="G428">
        <f>HYPERLINK("http://sofifa.com/en/14w/p/n/35","Nor")</f>
        <v>Nor</v>
      </c>
      <c t="str" s="30" r="H428">
        <f>HYPERLINK("http://sofifa.com/en/14w/p/146775-lee-camp","L. Camp")</f>
        <v>L. Camp</v>
      </c>
      <c s="21" r="I428">
        <v>70</v>
      </c>
      <c t="s" s="21" r="J428">
        <v>70</v>
      </c>
      <c t="s" s="21" r="K428">
        <v>89</v>
      </c>
      <c s="21" r="L428">
        <v>28</v>
      </c>
      <c s="42" r="M428">
        <v>1.4</v>
      </c>
      <c s="42" r="N428">
        <v>0.007</v>
      </c>
      <c s="42" r="O428"/>
      <c s="42" r="P428">
        <f>IF((O428&gt;0),N428,0)</f>
        <v>0</v>
      </c>
      <c s="42" r="Q428"/>
    </row>
    <row r="429">
      <c t="s" s="42" r="A429">
        <v>41</v>
      </c>
      <c s="42" r="B429">
        <v>428</v>
      </c>
      <c s="21" r="C429">
        <v>22</v>
      </c>
      <c t="s" s="21" r="D429">
        <v>97</v>
      </c>
      <c t="s" s="42" r="E429">
        <v>42</v>
      </c>
      <c t="s" s="42" r="F429">
        <v>42</v>
      </c>
      <c t="str" s="30" r="G429">
        <f>HYPERLINK("http://sofifa.com/en/14w/p/n/23","Hun")</f>
        <v>Hun</v>
      </c>
      <c t="str" s="30" r="H429">
        <f>HYPERLINK("http://sofifa.com/en/14w/p/144826-zoltan-gera","Z. Gera")</f>
        <v>Z. Gera</v>
      </c>
      <c s="21" r="I429">
        <v>74</v>
      </c>
      <c t="s" s="21" r="J429">
        <v>84</v>
      </c>
      <c t="s" s="21" r="K429">
        <v>89</v>
      </c>
      <c s="21" r="L429">
        <v>34</v>
      </c>
      <c s="42" r="M429">
        <v>2.3</v>
      </c>
      <c s="42" r="N429">
        <v>0.014</v>
      </c>
      <c s="42" r="O429"/>
      <c s="42" r="P429">
        <f>IF((O429&gt;0),N429,0)</f>
        <v>0</v>
      </c>
      <c s="42" r="Q429"/>
    </row>
    <row r="430">
      <c t="s" s="42" r="A430">
        <v>41</v>
      </c>
      <c s="42" r="B430">
        <v>429</v>
      </c>
      <c s="21" r="C430">
        <v>45</v>
      </c>
      <c t="s" s="21" r="D430">
        <v>97</v>
      </c>
      <c t="s" s="42" r="E430">
        <v>42</v>
      </c>
      <c t="s" s="42" r="F430">
        <v>42</v>
      </c>
      <c t="str" s="30" r="G430">
        <f>HYPERLINK("http://sofifa.com/en/14w/p/n/25","Rep")</f>
        <v>Rep</v>
      </c>
      <c t="str" s="30" r="H430">
        <f>HYPERLINK("http://sofifa.com/en/14w/p/150211-bradley-garmston","B. Garmston")</f>
        <v>B. Garmston</v>
      </c>
      <c s="21" r="I430">
        <v>60</v>
      </c>
      <c t="s" s="21" r="J430">
        <v>78</v>
      </c>
      <c t="s" s="21" r="K430">
        <v>82</v>
      </c>
      <c s="21" r="L430">
        <v>19</v>
      </c>
      <c s="42" r="M430">
        <v>0.6</v>
      </c>
      <c s="42" r="N430">
        <v>0.003</v>
      </c>
      <c s="42" r="O430"/>
      <c s="42" r="P430">
        <f>IF((O430&gt;0),N430,0)</f>
        <v>0</v>
      </c>
      <c s="42" r="Q430"/>
    </row>
    <row r="431">
      <c t="s" s="42" r="A431">
        <v>33</v>
      </c>
      <c s="42" r="B431">
        <v>430</v>
      </c>
      <c s="21" r="C431">
        <v>13</v>
      </c>
      <c t="s" s="21" r="D431">
        <v>70</v>
      </c>
      <c t="s" s="42" r="E431">
        <v>34</v>
      </c>
      <c t="s" s="42" r="F431">
        <v>34</v>
      </c>
      <c t="str" s="30" r="G431">
        <f>HYPERLINK("http://sofifa.com/en/14w/p/n/14","Eng")</f>
        <v>Eng</v>
      </c>
      <c t="str" s="30" r="H431">
        <f>HYPERLINK("http://sofifa.com/en/14w/p/147230-david-stockdale","D. Stockdale")</f>
        <v>D. Stockdale</v>
      </c>
      <c s="21" r="I431">
        <v>73</v>
      </c>
      <c t="s" s="21" r="J431">
        <v>70</v>
      </c>
      <c t="s" s="21" r="K431">
        <v>95</v>
      </c>
      <c s="21" r="L431">
        <v>27</v>
      </c>
      <c s="42" r="M431">
        <v>2.4</v>
      </c>
      <c s="42" r="N431">
        <v>0.01</v>
      </c>
      <c s="42" r="O431"/>
      <c s="42" r="P431">
        <f>IF((O431&gt;0),N431,0)</f>
        <v>0</v>
      </c>
      <c s="42" r="Q431"/>
    </row>
    <row r="432">
      <c t="s" s="42" r="A432">
        <v>33</v>
      </c>
      <c s="42" r="B432">
        <v>431</v>
      </c>
      <c s="21" r="C432">
        <v>27</v>
      </c>
      <c t="s" s="21" r="D432">
        <v>72</v>
      </c>
      <c t="s" s="42" r="E432">
        <v>34</v>
      </c>
      <c t="s" s="42" r="F432">
        <v>34</v>
      </c>
      <c t="str" s="30" r="G432">
        <f>HYPERLINK("http://sofifa.com/en/14w/p/n/21","Ger")</f>
        <v>Ger</v>
      </c>
      <c t="str" s="30" r="H432">
        <f>HYPERLINK("http://sofifa.com/en/14w/p/146257-sascha-riether","S. Riether")</f>
        <v>S. Riether</v>
      </c>
      <c s="21" r="I432">
        <v>75</v>
      </c>
      <c t="s" s="21" r="J432">
        <v>72</v>
      </c>
      <c t="s" s="21" r="K432">
        <v>94</v>
      </c>
      <c s="21" r="L432">
        <v>30</v>
      </c>
      <c s="42" r="M432">
        <v>3.3</v>
      </c>
      <c s="42" r="N432">
        <v>0.014</v>
      </c>
      <c s="42" r="O432"/>
      <c s="42" r="P432">
        <f>IF((O432&gt;0),N432,0)</f>
        <v>0</v>
      </c>
      <c s="42" r="Q432"/>
    </row>
    <row r="433">
      <c t="s" s="42" r="A433">
        <v>33</v>
      </c>
      <c s="42" r="B433">
        <v>432</v>
      </c>
      <c s="21" r="C433">
        <v>5</v>
      </c>
      <c t="s" s="21" r="D433">
        <v>74</v>
      </c>
      <c t="s" s="42" r="E433">
        <v>34</v>
      </c>
      <c t="s" s="42" r="F433">
        <v>34</v>
      </c>
      <c t="str" s="30" r="G433">
        <f>HYPERLINK("http://sofifa.com/en/14w/p/n/36","Nor")</f>
        <v>Nor</v>
      </c>
      <c t="str" s="30" r="H433">
        <f>HYPERLINK("http://sofifa.com/en/14w/p/145616-brede-hangeland","B. Hangeland")</f>
        <v>B. Hangeland</v>
      </c>
      <c s="21" r="I433">
        <v>80</v>
      </c>
      <c t="s" s="21" r="J433">
        <v>75</v>
      </c>
      <c t="s" s="21" r="K433">
        <v>76</v>
      </c>
      <c s="21" r="L433">
        <v>32</v>
      </c>
      <c s="42" r="M433">
        <v>8.5</v>
      </c>
      <c s="42" r="N433">
        <v>0.036</v>
      </c>
      <c s="42" r="O433"/>
      <c s="42" r="P433">
        <f>IF((O433&gt;0),N433,0)</f>
        <v>0</v>
      </c>
      <c s="42" r="Q433"/>
    </row>
    <row r="434">
      <c t="s" s="42" r="A434">
        <v>33</v>
      </c>
      <c s="42" r="B434">
        <v>433</v>
      </c>
      <c s="21" r="C434">
        <v>35</v>
      </c>
      <c t="s" s="21" r="D434">
        <v>77</v>
      </c>
      <c t="s" s="42" r="E434">
        <v>34</v>
      </c>
      <c t="s" s="42" r="F434">
        <v>34</v>
      </c>
      <c t="str" s="30" r="G434">
        <f>HYPERLINK("http://sofifa.com/en/14w/p/n/61","Ven")</f>
        <v>Ven</v>
      </c>
      <c t="str" s="30" r="H434">
        <f>HYPERLINK("http://sofifa.com/en/14w/p/146994-fernando-amorebieta","F. Amorebieta")</f>
        <v>F. Amorebieta</v>
      </c>
      <c s="21" r="I434">
        <v>79</v>
      </c>
      <c t="s" s="21" r="J434">
        <v>75</v>
      </c>
      <c t="s" s="21" r="K434">
        <v>91</v>
      </c>
      <c s="21" r="L434">
        <v>28</v>
      </c>
      <c s="42" r="M434">
        <v>6.8</v>
      </c>
      <c s="42" r="N434">
        <v>0.023</v>
      </c>
      <c s="42" r="O434"/>
      <c s="42" r="P434">
        <f>IF((O434&gt;0),N434,0)</f>
        <v>0</v>
      </c>
      <c s="42" r="Q434"/>
    </row>
    <row r="435">
      <c t="s" s="42" r="A435">
        <v>33</v>
      </c>
      <c s="42" r="B435">
        <v>434</v>
      </c>
      <c s="21" r="C435">
        <v>15</v>
      </c>
      <c t="s" s="21" r="D435">
        <v>78</v>
      </c>
      <c t="s" s="42" r="E435">
        <v>34</v>
      </c>
      <c t="s" s="42" r="F435">
        <v>34</v>
      </c>
      <c t="str" s="30" r="G435">
        <f>HYPERLINK("http://sofifa.com/en/14w/p/n/14","Eng")</f>
        <v>Eng</v>
      </c>
      <c t="str" s="30" r="H435">
        <f>HYPERLINK("http://sofifa.com/en/14w/p/146835-kieran-richardson","K. Richardson")</f>
        <v>K. Richardson</v>
      </c>
      <c s="21" r="I435">
        <v>74</v>
      </c>
      <c t="s" s="21" r="J435">
        <v>78</v>
      </c>
      <c t="s" s="21" r="K435">
        <v>94</v>
      </c>
      <c s="21" r="L435">
        <v>28</v>
      </c>
      <c s="42" r="M435">
        <v>3</v>
      </c>
      <c s="42" r="N435">
        <v>0.011</v>
      </c>
      <c s="42" r="O435"/>
      <c s="42" r="P435">
        <f>IF((O435&gt;0),N435,0)</f>
        <v>0</v>
      </c>
      <c s="42" r="Q435"/>
    </row>
    <row r="436">
      <c t="s" s="42" r="A436">
        <v>33</v>
      </c>
      <c s="42" r="B436">
        <v>435</v>
      </c>
      <c s="21" r="C436">
        <v>7</v>
      </c>
      <c t="s" s="21" r="D436">
        <v>80</v>
      </c>
      <c t="s" s="42" r="E436">
        <v>34</v>
      </c>
      <c t="s" s="42" r="F436">
        <v>34</v>
      </c>
      <c t="str" s="30" r="G436">
        <f>HYPERLINK("http://sofifa.com/en/14w/p/n/14","Eng")</f>
        <v>Eng</v>
      </c>
      <c t="str" s="30" r="H436">
        <f>HYPERLINK("http://sofifa.com/en/14w/p/146158-steve-sidwell","S. Sidwell")</f>
        <v>S. Sidwell</v>
      </c>
      <c s="21" r="I436">
        <v>75</v>
      </c>
      <c t="s" s="21" r="J436">
        <v>98</v>
      </c>
      <c t="s" s="21" r="K436">
        <v>89</v>
      </c>
      <c s="21" r="L436">
        <v>30</v>
      </c>
      <c s="42" r="M436">
        <v>3.3</v>
      </c>
      <c s="42" r="N436">
        <v>0.014</v>
      </c>
      <c s="42" r="O436"/>
      <c s="42" r="P436">
        <f>IF((O436&gt;0),N436,0)</f>
        <v>0</v>
      </c>
      <c s="42" r="Q436"/>
    </row>
    <row r="437">
      <c t="s" s="42" r="A437">
        <v>33</v>
      </c>
      <c s="42" r="B437">
        <v>436</v>
      </c>
      <c s="21" r="C437">
        <v>14</v>
      </c>
      <c t="s" s="21" r="D437">
        <v>83</v>
      </c>
      <c t="s" s="42" r="E437">
        <v>34</v>
      </c>
      <c t="s" s="42" r="F437">
        <v>34</v>
      </c>
      <c t="str" s="30" r="G437">
        <f>HYPERLINK("http://sofifa.com/en/14w/p/n/22","Gre")</f>
        <v>Gre</v>
      </c>
      <c t="str" s="30" r="H437">
        <f>HYPERLINK("http://sofifa.com/en/14w/p/144049-giorgios-karagounis","G. Karagounis")</f>
        <v>G. Karagounis</v>
      </c>
      <c s="21" r="I437">
        <v>70</v>
      </c>
      <c t="s" s="21" r="J437">
        <v>81</v>
      </c>
      <c t="s" s="21" r="K437">
        <v>94</v>
      </c>
      <c s="21" r="L437">
        <v>36</v>
      </c>
      <c s="42" r="M437">
        <v>1</v>
      </c>
      <c s="42" r="N437">
        <v>0.009</v>
      </c>
      <c s="42" r="O437"/>
      <c s="42" r="P437">
        <f>IF((O437&gt;0),N437,0)</f>
        <v>0</v>
      </c>
      <c s="42" r="Q437"/>
    </row>
    <row r="438">
      <c t="s" s="42" r="A438">
        <v>33</v>
      </c>
      <c s="42" r="B438">
        <v>437</v>
      </c>
      <c s="21" r="C438">
        <v>8</v>
      </c>
      <c t="s" s="21" r="D438">
        <v>84</v>
      </c>
      <c t="s" s="42" r="E438">
        <v>34</v>
      </c>
      <c t="s" s="42" r="F438">
        <v>34</v>
      </c>
      <c t="str" s="30" r="G438">
        <f>HYPERLINK("http://sofifa.com/en/14w/p/n/47","Swi")</f>
        <v>Swi</v>
      </c>
      <c t="str" s="30" r="H438">
        <f>HYPERLINK("http://sofifa.com/en/14w/p/149616-pajtim-kasami","P. Kasami")</f>
        <v>P. Kasami</v>
      </c>
      <c s="21" r="I438">
        <v>73</v>
      </c>
      <c t="s" s="21" r="J438">
        <v>88</v>
      </c>
      <c t="s" s="21" r="K438">
        <v>99</v>
      </c>
      <c s="21" r="L438">
        <v>21</v>
      </c>
      <c s="42" r="M438">
        <v>3.8</v>
      </c>
      <c s="42" r="N438">
        <v>0.009</v>
      </c>
      <c s="42" r="O438"/>
      <c s="42" r="P438">
        <f>IF((O438&gt;0),N438,0)</f>
        <v>0</v>
      </c>
      <c s="42" r="Q438"/>
    </row>
    <row r="439">
      <c t="s" s="42" r="A439">
        <v>33</v>
      </c>
      <c s="42" r="B439">
        <v>438</v>
      </c>
      <c s="21" r="C439">
        <v>11</v>
      </c>
      <c t="s" s="21" r="D439">
        <v>87</v>
      </c>
      <c t="s" s="42" r="E439">
        <v>34</v>
      </c>
      <c t="s" s="42" r="F439">
        <v>34</v>
      </c>
      <c t="str" s="30" r="G439">
        <f>HYPERLINK("http://sofifa.com/en/14w/p/n/46","Swe")</f>
        <v>Swe</v>
      </c>
      <c t="str" s="30" r="H439">
        <f>HYPERLINK("http://sofifa.com/en/14w/p/149322-alexander-kacaniklic","A. Kačaniklić")</f>
        <v>A. Kačaniklić</v>
      </c>
      <c s="21" r="I439">
        <v>72</v>
      </c>
      <c t="s" s="21" r="J439">
        <v>87</v>
      </c>
      <c t="s" s="21" r="K439">
        <v>79</v>
      </c>
      <c s="21" r="L439">
        <v>21</v>
      </c>
      <c s="42" r="M439">
        <v>3</v>
      </c>
      <c s="42" r="N439">
        <v>0.008</v>
      </c>
      <c s="42" r="O439"/>
      <c s="42" r="P439">
        <f>IF((O439&gt;0),N439,0)</f>
        <v>0</v>
      </c>
      <c s="42" r="Q439"/>
    </row>
    <row r="440">
      <c t="s" s="42" r="A440">
        <v>33</v>
      </c>
      <c s="42" r="B440">
        <v>439</v>
      </c>
      <c s="21" r="C440">
        <v>9</v>
      </c>
      <c t="s" s="21" r="D440">
        <v>88</v>
      </c>
      <c t="s" s="42" r="E440">
        <v>34</v>
      </c>
      <c t="s" s="42" r="F440">
        <v>34</v>
      </c>
      <c t="str" s="30" r="G440">
        <f>HYPERLINK("http://sofifa.com/en/14w/p/n/9","Bul")</f>
        <v>Bul</v>
      </c>
      <c t="str" s="30" r="H440">
        <f>HYPERLINK("http://sofifa.com/en/14w/p/145475-dimitar-berbatov","D. Berbatov")</f>
        <v>D. Berbatov</v>
      </c>
      <c s="21" r="I440">
        <v>82</v>
      </c>
      <c t="s" s="21" r="J440">
        <v>90</v>
      </c>
      <c t="s" s="21" r="K440">
        <v>99</v>
      </c>
      <c s="21" r="L440">
        <v>32</v>
      </c>
      <c s="42" r="M440">
        <v>12.7</v>
      </c>
      <c s="42" r="N440">
        <v>0.064</v>
      </c>
      <c s="42" r="O440"/>
      <c s="42" r="P440">
        <f>IF((O440&gt;0),N440,0)</f>
        <v>0</v>
      </c>
      <c s="42" r="Q440"/>
    </row>
    <row r="441">
      <c t="s" s="42" r="A441">
        <v>33</v>
      </c>
      <c s="42" r="B441">
        <v>440</v>
      </c>
      <c s="21" r="C441">
        <v>39</v>
      </c>
      <c t="s" s="21" r="D441">
        <v>90</v>
      </c>
      <c t="s" s="42" r="E441">
        <v>34</v>
      </c>
      <c t="s" s="42" r="F441">
        <v>34</v>
      </c>
      <c t="str" s="30" r="G441">
        <f>HYPERLINK("http://sofifa.com/en/14w/p/n/14","Eng")</f>
        <v>Eng</v>
      </c>
      <c t="str" s="30" r="H441">
        <f>HYPERLINK("http://sofifa.com/en/14w/p/146577-darren-bent","D. Bent")</f>
        <v>D. Bent</v>
      </c>
      <c s="21" r="I441">
        <v>78</v>
      </c>
      <c t="s" s="21" r="J441">
        <v>90</v>
      </c>
      <c t="s" s="21" r="K441">
        <v>79</v>
      </c>
      <c s="21" r="L441">
        <v>29</v>
      </c>
      <c s="42" r="M441">
        <v>7.3</v>
      </c>
      <c s="42" r="N441">
        <v>0.02</v>
      </c>
      <c s="42" r="O441"/>
      <c s="42" r="P441">
        <f>IF((O441&gt;0),N441,0)</f>
        <v>0</v>
      </c>
      <c s="42" r="Q441"/>
    </row>
    <row r="442">
      <c t="s" s="42" r="A442">
        <v>33</v>
      </c>
      <c s="42" r="B442">
        <v>441</v>
      </c>
      <c s="21" r="C442">
        <v>10</v>
      </c>
      <c t="s" s="21" r="D442">
        <v>92</v>
      </c>
      <c t="s" s="42" r="E442">
        <v>34</v>
      </c>
      <c t="s" s="42" r="F442">
        <v>34</v>
      </c>
      <c t="str" s="30" r="G442">
        <f>HYPERLINK("http://sofifa.com/en/14w/p/n/72","Cos")</f>
        <v>Cos</v>
      </c>
      <c t="str" s="30" r="H442">
        <f>HYPERLINK("http://sofifa.com/en/14w/p/147136-bryan-ruiz","B. Ruíz")</f>
        <v>B. Ruíz</v>
      </c>
      <c s="21" r="I442">
        <v>80</v>
      </c>
      <c t="s" s="21" r="J442">
        <v>88</v>
      </c>
      <c t="s" s="21" r="K442">
        <v>99</v>
      </c>
      <c s="21" r="L442">
        <v>27</v>
      </c>
      <c s="42" r="M442">
        <v>11.4</v>
      </c>
      <c s="42" r="N442">
        <v>0.03</v>
      </c>
      <c s="42" r="O442"/>
      <c s="42" r="P442">
        <f>IF((O442&gt;0),N442,0)</f>
        <v>0</v>
      </c>
      <c s="42" r="Q442"/>
    </row>
    <row r="443">
      <c t="s" s="42" r="A443">
        <v>33</v>
      </c>
      <c s="42" r="B443">
        <v>442</v>
      </c>
      <c s="21" r="C443">
        <v>19</v>
      </c>
      <c t="s" s="21" r="D443">
        <v>92</v>
      </c>
      <c t="s" s="42" r="E443">
        <v>34</v>
      </c>
      <c t="s" s="42" r="F443">
        <v>34</v>
      </c>
      <c t="str" s="30" r="G443">
        <f>HYPERLINK("http://sofifa.com/en/14w/p/n/129","Mor")</f>
        <v>Mor</v>
      </c>
      <c t="str" s="30" r="H443">
        <f>HYPERLINK("http://sofifa.com/en/14w/p/148511-adel-taarabt","A. Taarabt")</f>
        <v>A. Taarabt</v>
      </c>
      <c s="21" r="I443">
        <v>78</v>
      </c>
      <c t="s" s="21" r="J443">
        <v>87</v>
      </c>
      <c t="s" s="21" r="K443">
        <v>79</v>
      </c>
      <c s="21" r="L443">
        <v>24</v>
      </c>
      <c s="42" r="M443">
        <v>6.9</v>
      </c>
      <c s="42" r="N443">
        <v>0.019</v>
      </c>
      <c s="42" r="O443"/>
      <c s="42" r="P443">
        <f>IF((O443&gt;0),N443,0)</f>
        <v>0</v>
      </c>
      <c s="42" r="Q443"/>
    </row>
    <row r="444">
      <c t="s" s="42" r="A444">
        <v>33</v>
      </c>
      <c s="42" r="B444">
        <v>443</v>
      </c>
      <c s="21" r="C444">
        <v>38</v>
      </c>
      <c t="s" s="21" r="D444">
        <v>92</v>
      </c>
      <c t="s" s="42" r="E444">
        <v>34</v>
      </c>
      <c t="s" s="42" r="F444">
        <v>34</v>
      </c>
      <c t="str" s="30" r="G444">
        <f>HYPERLINK("http://sofifa.com/en/14w/p/n/181","Phi")</f>
        <v>Phi</v>
      </c>
      <c t="str" s="30" r="H444">
        <f>HYPERLINK("http://sofifa.com/en/14w/p/148770-neil-etheridge","N. Etheridge")</f>
        <v>N. Etheridge</v>
      </c>
      <c s="21" r="I444">
        <v>60</v>
      </c>
      <c t="s" s="21" r="J444">
        <v>70</v>
      </c>
      <c t="s" s="21" r="K444">
        <v>99</v>
      </c>
      <c s="21" r="L444">
        <v>23</v>
      </c>
      <c s="42" r="M444">
        <v>0.4</v>
      </c>
      <c s="42" r="N444">
        <v>0.003</v>
      </c>
      <c s="42" r="O444"/>
      <c s="42" r="P444">
        <f>IF((O444&gt;0),N444,0)</f>
        <v>0</v>
      </c>
      <c s="42" r="Q444"/>
    </row>
    <row r="445">
      <c t="s" s="42" r="A445">
        <v>33</v>
      </c>
      <c s="42" r="B445">
        <v>444</v>
      </c>
      <c s="21" r="C445">
        <v>20</v>
      </c>
      <c t="s" s="21" r="D445">
        <v>92</v>
      </c>
      <c t="s" s="42" r="E445">
        <v>34</v>
      </c>
      <c t="s" s="42" r="F445">
        <v>34</v>
      </c>
      <c t="str" s="30" r="G445">
        <f>HYPERLINK("http://sofifa.com/en/14w/p/n/56","Col")</f>
        <v>Col</v>
      </c>
      <c t="str" s="30" r="H445">
        <f>HYPERLINK("http://sofifa.com/en/14w/p/147112-hugo-rodallega","H. Rodallega")</f>
        <v>H. Rodallega</v>
      </c>
      <c s="21" r="I445">
        <v>74</v>
      </c>
      <c t="s" s="21" r="J445">
        <v>90</v>
      </c>
      <c t="s" s="21" r="K445">
        <v>79</v>
      </c>
      <c s="21" r="L445">
        <v>27</v>
      </c>
      <c s="42" r="M445">
        <v>3.9</v>
      </c>
      <c s="42" r="N445">
        <v>0.011</v>
      </c>
      <c s="42" r="O445"/>
      <c s="42" r="P445">
        <f>IF((O445&gt;0),N445,0)</f>
        <v>0</v>
      </c>
      <c s="42" r="Q445"/>
    </row>
    <row r="446">
      <c t="s" s="42" r="A446">
        <v>33</v>
      </c>
      <c s="42" r="B446">
        <v>445</v>
      </c>
      <c s="21" r="C446">
        <v>1</v>
      </c>
      <c t="s" s="21" r="D446">
        <v>92</v>
      </c>
      <c t="s" s="42" r="E446">
        <v>34</v>
      </c>
      <c t="s" s="42" r="F446">
        <v>34</v>
      </c>
      <c t="str" s="30" r="G446">
        <f>HYPERLINK("http://sofifa.com/en/14w/p/n/34","Net")</f>
        <v>Net</v>
      </c>
      <c t="str" s="30" r="H446">
        <f>HYPERLINK("http://sofifa.com/en/14w/p/146075-maarten-stekelenburg","M. Stekelenburg")</f>
        <v>M. Stekelenburg</v>
      </c>
      <c s="21" r="I446">
        <v>79</v>
      </c>
      <c t="s" s="21" r="J446">
        <v>70</v>
      </c>
      <c t="s" s="21" r="K446">
        <v>76</v>
      </c>
      <c s="21" r="L446">
        <v>30</v>
      </c>
      <c s="42" r="M446">
        <v>5.1</v>
      </c>
      <c s="42" r="N446">
        <v>0.025</v>
      </c>
      <c s="42" r="O446"/>
      <c s="42" r="P446">
        <f>IF((O446&gt;0),N446,0)</f>
        <v>0</v>
      </c>
      <c s="42" r="Q446"/>
    </row>
    <row r="447">
      <c t="s" s="42" r="A447">
        <v>33</v>
      </c>
      <c s="42" r="B447">
        <v>446</v>
      </c>
      <c s="21" r="C447">
        <v>22</v>
      </c>
      <c t="s" s="21" r="D447">
        <v>92</v>
      </c>
      <c t="s" s="42" r="E447">
        <v>34</v>
      </c>
      <c t="s" s="42" r="F447">
        <v>34</v>
      </c>
      <c t="str" s="30" r="G447">
        <f>HYPERLINK("http://sofifa.com/en/14w/p/n/15","Mon")</f>
        <v>Mon</v>
      </c>
      <c t="str" s="30" r="H447">
        <f>HYPERLINK("http://sofifa.com/en/14w/p/147575-elsad-zverotic","E. Zverotić")</f>
        <v>E. Zverotić</v>
      </c>
      <c s="21" r="I447">
        <v>63</v>
      </c>
      <c t="s" s="21" r="J447">
        <v>72</v>
      </c>
      <c t="s" s="21" r="K447">
        <v>82</v>
      </c>
      <c s="21" r="L447">
        <v>26</v>
      </c>
      <c s="42" r="M447">
        <v>0.7</v>
      </c>
      <c s="42" r="N447">
        <v>0.004</v>
      </c>
      <c s="42" r="O447"/>
      <c s="42" r="P447">
        <f>IF((O447&gt;0),N447,0)</f>
        <v>0</v>
      </c>
      <c s="42" r="Q447"/>
    </row>
    <row r="448">
      <c t="s" s="42" r="A448">
        <v>33</v>
      </c>
      <c s="42" r="B448">
        <v>447</v>
      </c>
      <c s="21" r="C448">
        <v>28</v>
      </c>
      <c t="s" s="21" r="D448">
        <v>92</v>
      </c>
      <c t="s" s="42" r="E448">
        <v>34</v>
      </c>
      <c t="s" s="42" r="F448">
        <v>34</v>
      </c>
      <c t="str" s="30" r="G448">
        <f>HYPERLINK("http://sofifa.com/en/14w/p/n/14","Eng")</f>
        <v>Eng</v>
      </c>
      <c t="str" s="30" r="H448">
        <f>HYPERLINK("http://sofifa.com/en/14w/p/145366-scott-parker","S. Parker")</f>
        <v>S. Parker</v>
      </c>
      <c s="21" r="I448">
        <v>79</v>
      </c>
      <c t="s" s="21" r="J448">
        <v>98</v>
      </c>
      <c t="s" s="21" r="K448">
        <v>94</v>
      </c>
      <c s="21" r="L448">
        <v>32</v>
      </c>
      <c s="42" r="M448">
        <v>5.1</v>
      </c>
      <c s="42" r="N448">
        <v>0.026</v>
      </c>
      <c s="42" r="O448"/>
      <c s="42" r="P448">
        <f>IF((O448&gt;0),N448,0)</f>
        <v>0</v>
      </c>
      <c s="42" r="Q448"/>
    </row>
    <row r="449">
      <c t="s" s="42" r="A449">
        <v>33</v>
      </c>
      <c s="42" r="B449">
        <v>448</v>
      </c>
      <c s="21" r="C449">
        <v>3</v>
      </c>
      <c t="s" s="21" r="D449">
        <v>92</v>
      </c>
      <c t="s" s="42" r="E449">
        <v>34</v>
      </c>
      <c t="s" s="42" r="F449">
        <v>34</v>
      </c>
      <c t="str" s="30" r="G449">
        <f>HYPERLINK("http://sofifa.com/en/14w/p/n/36","Nor")</f>
        <v>Nor</v>
      </c>
      <c t="str" s="30" r="H449">
        <f>HYPERLINK("http://sofifa.com/en/14w/p/145347-john-arne-riise","J. Riise")</f>
        <v>J. Riise</v>
      </c>
      <c s="21" r="I449">
        <v>74</v>
      </c>
      <c t="s" s="21" r="J449">
        <v>78</v>
      </c>
      <c t="s" s="21" r="K449">
        <v>99</v>
      </c>
      <c s="21" r="L449">
        <v>32</v>
      </c>
      <c s="42" r="M449">
        <v>2.4</v>
      </c>
      <c s="42" r="N449">
        <v>0.013</v>
      </c>
      <c s="42" r="O449"/>
      <c s="42" r="P449">
        <f>IF((O449&gt;0),N449,0)</f>
        <v>0</v>
      </c>
      <c s="42" r="Q449"/>
    </row>
    <row r="450">
      <c t="s" s="42" r="A450">
        <v>33</v>
      </c>
      <c s="42" r="B450">
        <v>449</v>
      </c>
      <c s="21" r="C450">
        <v>4</v>
      </c>
      <c t="s" s="21" r="D450">
        <v>92</v>
      </c>
      <c t="s" s="42" r="E450">
        <v>34</v>
      </c>
      <c t="s" s="42" r="F450">
        <v>34</v>
      </c>
      <c t="str" s="30" r="G450">
        <f>HYPERLINK("http://sofifa.com/en/14w/p/n/47","Swi")</f>
        <v>Swi</v>
      </c>
      <c t="str" s="30" r="H450">
        <f>HYPERLINK("http://sofifa.com/en/14w/p/146951-philippe-senderos","P. Senderos")</f>
        <v>P. Senderos</v>
      </c>
      <c s="21" r="I450">
        <v>72</v>
      </c>
      <c t="s" s="21" r="J450">
        <v>75</v>
      </c>
      <c t="s" s="21" r="K450">
        <v>99</v>
      </c>
      <c s="21" r="L450">
        <v>28</v>
      </c>
      <c s="42" r="M450">
        <v>2.4</v>
      </c>
      <c s="42" r="N450">
        <v>0.009</v>
      </c>
      <c s="42" r="O450"/>
      <c s="42" r="P450">
        <f>IF((O450&gt;0),N450,0)</f>
        <v>0</v>
      </c>
      <c s="42" r="Q450"/>
    </row>
    <row r="451">
      <c t="s" s="42" r="A451">
        <v>33</v>
      </c>
      <c s="42" r="B451">
        <v>450</v>
      </c>
      <c s="21" r="C451">
        <v>16</v>
      </c>
      <c t="s" s="21" r="D451">
        <v>92</v>
      </c>
      <c t="s" s="42" r="E451">
        <v>34</v>
      </c>
      <c t="s" s="42" r="F451">
        <v>34</v>
      </c>
      <c t="str" s="30" r="G451">
        <f>HYPERLINK("http://sofifa.com/en/14w/p/n/25","Rep")</f>
        <v>Rep</v>
      </c>
      <c t="str" s="30" r="H451">
        <f>HYPERLINK("http://sofifa.com/en/14w/p/144775-damien-duff","D. Duff")</f>
        <v>D. Duff</v>
      </c>
      <c s="21" r="I451">
        <v>77</v>
      </c>
      <c t="s" s="21" r="J451">
        <v>84</v>
      </c>
      <c t="s" s="21" r="K451">
        <v>82</v>
      </c>
      <c s="21" r="L451">
        <v>34</v>
      </c>
      <c s="42" r="M451">
        <v>3.8</v>
      </c>
      <c s="42" r="N451">
        <v>0.021</v>
      </c>
      <c s="42" r="O451"/>
      <c s="42" r="P451">
        <f>IF((O451&gt;0),N451,0)</f>
        <v>0</v>
      </c>
      <c s="42" r="Q451"/>
    </row>
    <row r="452">
      <c t="s" s="42" r="A452">
        <v>33</v>
      </c>
      <c s="42" r="B452">
        <v>451</v>
      </c>
      <c s="21" r="C452">
        <v>23</v>
      </c>
      <c t="s" s="21" r="D452">
        <v>92</v>
      </c>
      <c t="s" s="42" r="E452">
        <v>34</v>
      </c>
      <c t="s" s="42" r="F452">
        <v>34</v>
      </c>
      <c t="str" s="30" r="G452">
        <f>HYPERLINK("http://sofifa.com/en/14w/p/n/117","Gha")</f>
        <v>Gha</v>
      </c>
      <c t="str" s="30" r="H452">
        <f>HYPERLINK("http://sofifa.com/en/14w/p/146297-derek-boateng","D. Boateng")</f>
        <v>D. Boateng</v>
      </c>
      <c s="21" r="I452">
        <v>75</v>
      </c>
      <c t="s" s="21" r="J452">
        <v>98</v>
      </c>
      <c t="s" s="21" r="K452">
        <v>73</v>
      </c>
      <c s="21" r="L452">
        <v>30</v>
      </c>
      <c s="42" r="M452">
        <v>3.3</v>
      </c>
      <c s="42" r="N452">
        <v>0.014</v>
      </c>
      <c s="42" r="O452"/>
      <c s="42" r="P452">
        <f>IF((O452&gt;0),N452,0)</f>
        <v>0</v>
      </c>
      <c s="42" r="Q452"/>
    </row>
    <row r="453">
      <c t="s" s="42" r="A453">
        <v>33</v>
      </c>
      <c s="42" r="B453">
        <v>452</v>
      </c>
      <c s="21" r="C453">
        <v>24</v>
      </c>
      <c t="s" s="21" r="D453">
        <v>92</v>
      </c>
      <c t="s" s="42" r="E453">
        <v>34</v>
      </c>
      <c t="s" s="42" r="F453">
        <v>34</v>
      </c>
      <c t="str" s="30" r="G453">
        <f>HYPERLINK("http://sofifa.com/en/14w/p/n/161","Ira")</f>
        <v>Ira</v>
      </c>
      <c t="str" s="30" r="H453">
        <f>HYPERLINK("http://sofifa.com/en/14w/p/147457-ashkan-dejagah","A. Dejagah")</f>
        <v>A. Dejagah</v>
      </c>
      <c s="21" r="I453">
        <v>75</v>
      </c>
      <c t="s" s="21" r="J453">
        <v>84</v>
      </c>
      <c t="s" s="21" r="K453">
        <v>79</v>
      </c>
      <c s="21" r="L453">
        <v>26</v>
      </c>
      <c s="42" r="M453">
        <v>4.3</v>
      </c>
      <c s="42" r="N453">
        <v>0.013</v>
      </c>
      <c s="42" r="O453"/>
      <c s="42" r="P453">
        <f>IF((O453&gt;0),N453,0)</f>
        <v>0</v>
      </c>
      <c s="42" r="Q453"/>
    </row>
    <row r="454">
      <c t="s" s="42" r="A454">
        <v>33</v>
      </c>
      <c s="42" r="B454">
        <v>453</v>
      </c>
      <c s="21" r="C454">
        <v>55</v>
      </c>
      <c t="s" s="21" r="D454">
        <v>97</v>
      </c>
      <c t="s" s="42" r="E454">
        <v>34</v>
      </c>
      <c t="s" s="42" r="F454">
        <v>34</v>
      </c>
      <c t="str" s="30" r="G454">
        <f>HYPERLINK("http://sofifa.com/en/14w/p/n/46","Swe")</f>
        <v>Swe</v>
      </c>
      <c t="str" s="30" r="H454">
        <f>HYPERLINK("http://sofifa.com/en/14w/p/150210-dino-islamovic","D. Islamovic")</f>
        <v>D. Islamovic</v>
      </c>
      <c s="21" r="I454">
        <v>62</v>
      </c>
      <c t="s" s="21" r="J454">
        <v>90</v>
      </c>
      <c t="s" s="21" r="K454">
        <v>95</v>
      </c>
      <c s="21" r="L454">
        <v>19</v>
      </c>
      <c s="42" r="M454">
        <v>0.9</v>
      </c>
      <c s="42" r="N454">
        <v>0.003</v>
      </c>
      <c s="42" r="O454"/>
      <c s="42" r="P454">
        <f>IF((O454&gt;0),N454,0)</f>
        <v>0</v>
      </c>
      <c s="42" r="Q454"/>
    </row>
    <row r="455">
      <c t="s" s="42" r="A455">
        <v>33</v>
      </c>
      <c s="42" r="B455">
        <v>454</v>
      </c>
      <c s="21" r="C455">
        <v>61</v>
      </c>
      <c t="s" s="21" r="D455">
        <v>97</v>
      </c>
      <c t="s" s="42" r="E455">
        <v>34</v>
      </c>
      <c t="s" s="42" r="F455">
        <v>34</v>
      </c>
      <c t="str" s="30" r="G455">
        <f>HYPERLINK("http://sofifa.com/en/14w/p/n/18","Fra")</f>
        <v>Fra</v>
      </c>
      <c t="str" s="30" r="H455">
        <f>HYPERLINK("http://sofifa.com/en/14w/p/150619-ange-freddy-plumain","A. Plumain")</f>
        <v>A. Plumain</v>
      </c>
      <c s="21" r="I455">
        <v>58</v>
      </c>
      <c t="s" s="21" r="J455">
        <v>85</v>
      </c>
      <c t="s" s="21" r="K455">
        <v>79</v>
      </c>
      <c s="21" r="L455">
        <v>18</v>
      </c>
      <c s="42" r="M455">
        <v>0.4</v>
      </c>
      <c s="42" r="N455">
        <v>0.002</v>
      </c>
      <c s="42" r="O455"/>
      <c s="42" r="P455">
        <f>IF((O455&gt;0),N455,0)</f>
        <v>0</v>
      </c>
      <c s="42" r="Q455"/>
    </row>
    <row r="456">
      <c t="s" s="42" r="A456">
        <v>33</v>
      </c>
      <c s="42" r="B456">
        <v>455</v>
      </c>
      <c s="21" r="C456">
        <v>30</v>
      </c>
      <c t="s" s="21" r="D456">
        <v>97</v>
      </c>
      <c t="s" s="42" r="E456">
        <v>34</v>
      </c>
      <c t="s" s="42" r="F456">
        <v>34</v>
      </c>
      <c t="str" s="30" r="G456">
        <f>HYPERLINK("http://sofifa.com/en/14w/p/n/34","Net")</f>
        <v>Net</v>
      </c>
      <c t="str" s="30" r="H456">
        <f>HYPERLINK("http://sofifa.com/en/14w/p/149893-chris-david","C. David")</f>
        <v>C. David</v>
      </c>
      <c s="21" r="I456">
        <v>64</v>
      </c>
      <c t="s" s="21" r="J456">
        <v>88</v>
      </c>
      <c t="s" s="21" r="K456">
        <v>106</v>
      </c>
      <c s="21" r="L456">
        <v>20</v>
      </c>
      <c s="42" r="M456">
        <v>1.1</v>
      </c>
      <c s="42" r="N456">
        <v>0.004</v>
      </c>
      <c s="42" r="O456"/>
      <c s="42" r="P456">
        <f>IF((O456&gt;0),N456,0)</f>
        <v>0</v>
      </c>
      <c s="42" r="Q456"/>
    </row>
    <row r="457">
      <c t="s" s="42" r="A457">
        <v>33</v>
      </c>
      <c s="42" r="B457">
        <v>456</v>
      </c>
      <c s="21" r="C457">
        <v>43</v>
      </c>
      <c t="s" s="21" r="D457">
        <v>97</v>
      </c>
      <c t="s" s="42" r="E457">
        <v>34</v>
      </c>
      <c t="s" s="42" r="F457">
        <v>34</v>
      </c>
      <c t="str" s="30" r="G457">
        <f>HYPERLINK("http://sofifa.com/en/14w/p/n/46","Swe")</f>
        <v>Swe</v>
      </c>
      <c t="str" s="30" r="H457">
        <f>HYPERLINK("http://sofifa.com/en/14w/p/150611-muamer-tankovic","M. Tankovic")</f>
        <v>M. Tankovic</v>
      </c>
      <c s="21" r="I457">
        <v>61</v>
      </c>
      <c t="s" s="21" r="J457">
        <v>108</v>
      </c>
      <c t="s" s="21" r="K457">
        <v>79</v>
      </c>
      <c s="21" r="L457">
        <v>18</v>
      </c>
      <c s="42" r="M457">
        <v>0.8</v>
      </c>
      <c s="42" r="N457">
        <v>0.003</v>
      </c>
      <c s="42" r="O457"/>
      <c s="42" r="P457">
        <f>IF((O457&gt;0),N457,0)</f>
        <v>0</v>
      </c>
      <c s="42" r="Q457"/>
    </row>
    <row r="458">
      <c t="s" s="42" r="A458">
        <v>33</v>
      </c>
      <c s="42" r="B458">
        <v>457</v>
      </c>
      <c s="21" r="C458">
        <v>36</v>
      </c>
      <c t="s" s="21" r="D458">
        <v>97</v>
      </c>
      <c t="s" s="42" r="E458">
        <v>34</v>
      </c>
      <c t="s" s="42" r="F458">
        <v>34</v>
      </c>
      <c t="str" s="30" r="G458">
        <f>HYPERLINK("http://sofifa.com/en/14w/p/n/38","Por")</f>
        <v>Por</v>
      </c>
      <c t="str" s="30" r="H458">
        <f>HYPERLINK("http://sofifa.com/en/14w/p/149954-buomesca-tue-na-bangna","B. Na Bangna")</f>
        <v>B. Na Bangna</v>
      </c>
      <c s="21" r="I458">
        <v>60</v>
      </c>
      <c t="s" s="21" r="J458">
        <v>84</v>
      </c>
      <c t="s" s="21" r="K458">
        <v>94</v>
      </c>
      <c s="21" r="L458">
        <v>20</v>
      </c>
      <c s="42" r="M458">
        <v>0.6</v>
      </c>
      <c s="42" r="N458">
        <v>0.003</v>
      </c>
      <c s="42" r="O458"/>
      <c s="42" r="P458">
        <f>IF((O458&gt;0),N458,0)</f>
        <v>0</v>
      </c>
      <c s="42" r="Q458"/>
    </row>
    <row r="459">
      <c t="s" s="42" r="A459">
        <v>33</v>
      </c>
      <c s="42" r="B459">
        <v>458</v>
      </c>
      <c s="21" r="C459">
        <v>50</v>
      </c>
      <c t="s" s="21" r="D459">
        <v>97</v>
      </c>
      <c t="s" s="42" r="E459">
        <v>34</v>
      </c>
      <c t="s" s="42" r="F459">
        <v>34</v>
      </c>
      <c t="str" s="30" r="G459">
        <f>HYPERLINK("http://sofifa.com/en/14w/p/n/14","Eng")</f>
        <v>Eng</v>
      </c>
      <c t="str" s="30" r="H459">
        <f>HYPERLINK("http://sofifa.com/en/14w/p/150481-stephen-arthurworrey","S. Arthurworrey")</f>
        <v>S. Arthurworrey</v>
      </c>
      <c s="21" r="I459">
        <v>59</v>
      </c>
      <c t="s" s="21" r="J459">
        <v>75</v>
      </c>
      <c t="s" s="21" r="K459">
        <v>91</v>
      </c>
      <c s="21" r="L459">
        <v>18</v>
      </c>
      <c s="42" r="M459">
        <v>0.4</v>
      </c>
      <c s="42" r="N459">
        <v>0.002</v>
      </c>
      <c s="42" r="O459"/>
      <c s="42" r="P459">
        <f>IF((O459&gt;0),N459,0)</f>
        <v>0</v>
      </c>
      <c s="42" r="Q459"/>
    </row>
    <row r="460">
      <c t="s" s="42" r="A460">
        <v>33</v>
      </c>
      <c s="42" r="B460">
        <v>459</v>
      </c>
      <c s="21" r="C460">
        <v>58</v>
      </c>
      <c t="s" s="21" r="D460">
        <v>97</v>
      </c>
      <c t="s" s="42" r="E460">
        <v>34</v>
      </c>
      <c t="s" s="42" r="F460">
        <v>34</v>
      </c>
      <c t="str" s="30" r="G460">
        <f>HYPERLINK("http://sofifa.com/en/14w/p/n/21","Ger")</f>
        <v>Ger</v>
      </c>
      <c t="str" s="30" r="H460">
        <f>HYPERLINK("http://sofifa.com/en/14w/p/150171-ronny-minkwitz","R. Minkwitz")</f>
        <v>R. Minkwitz</v>
      </c>
      <c s="21" r="I460">
        <v>59</v>
      </c>
      <c t="s" s="21" r="J460">
        <v>98</v>
      </c>
      <c t="s" s="21" r="K460">
        <v>94</v>
      </c>
      <c s="21" r="L460">
        <v>19</v>
      </c>
      <c s="42" r="M460">
        <v>0.4</v>
      </c>
      <c s="42" r="N460">
        <v>0.002</v>
      </c>
      <c s="42" r="O460"/>
      <c s="42" r="P460">
        <f>IF((O460&gt;0),N460,0)</f>
        <v>0</v>
      </c>
      <c s="42" r="Q460"/>
    </row>
    <row r="461">
      <c t="s" s="42" r="A461">
        <v>33</v>
      </c>
      <c s="42" r="B461">
        <v>460</v>
      </c>
      <c s="21" r="C461">
        <v>18</v>
      </c>
      <c t="s" s="21" r="D461">
        <v>97</v>
      </c>
      <c t="s" s="42" r="E461">
        <v>34</v>
      </c>
      <c t="s" s="42" r="F461">
        <v>34</v>
      </c>
      <c t="str" s="30" r="G461">
        <f>HYPERLINK("http://sofifa.com/en/14w/p/n/35","Nor")</f>
        <v>Nor</v>
      </c>
      <c t="str" s="30" r="H461">
        <f>HYPERLINK("http://sofifa.com/en/14w/p/145026-aaron-hughes","A. Hughes")</f>
        <v>A. Hughes</v>
      </c>
      <c s="21" r="I461">
        <v>73</v>
      </c>
      <c t="s" s="21" r="J461">
        <v>75</v>
      </c>
      <c t="s" s="21" r="K461">
        <v>89</v>
      </c>
      <c s="21" r="L461">
        <v>33</v>
      </c>
      <c s="42" r="M461">
        <v>2.1</v>
      </c>
      <c s="42" r="N461">
        <v>0.012</v>
      </c>
      <c s="42" r="O461"/>
      <c s="42" r="P461">
        <f>IF((O461&gt;0),N461,0)</f>
        <v>0</v>
      </c>
      <c s="42" r="Q461"/>
    </row>
    <row r="462">
      <c t="s" s="42" r="A462">
        <v>33</v>
      </c>
      <c s="42" r="B462">
        <v>461</v>
      </c>
      <c s="21" r="C462">
        <v>17</v>
      </c>
      <c t="s" s="21" r="D462">
        <v>97</v>
      </c>
      <c t="s" s="42" r="E462">
        <v>34</v>
      </c>
      <c t="s" s="42" r="F462">
        <v>34</v>
      </c>
      <c t="str" s="30" r="G462">
        <f>HYPERLINK("http://sofifa.com/en/14w/p/n/14","Eng")</f>
        <v>Eng</v>
      </c>
      <c t="str" s="30" r="H462">
        <f>HYPERLINK("http://sofifa.com/en/14w/p/149162-matthew-briggs","M. Briggs")</f>
        <v>M. Briggs</v>
      </c>
      <c s="21" r="I462">
        <v>66</v>
      </c>
      <c t="s" s="21" r="J462">
        <v>78</v>
      </c>
      <c t="s" s="21" r="K462">
        <v>99</v>
      </c>
      <c s="21" r="L462">
        <v>22</v>
      </c>
      <c s="42" r="M462">
        <v>1.2</v>
      </c>
      <c s="42" r="N462">
        <v>0.005</v>
      </c>
      <c s="42" r="O462"/>
      <c s="42" r="P462">
        <f>IF((O462&gt;0),N462,0)</f>
        <v>0</v>
      </c>
      <c s="42" r="Q462"/>
    </row>
    <row r="463">
      <c t="s" s="42" r="A463">
        <v>33</v>
      </c>
      <c s="42" r="B463">
        <v>462</v>
      </c>
      <c s="21" r="C463">
        <v>52</v>
      </c>
      <c t="s" s="21" r="D463">
        <v>97</v>
      </c>
      <c t="s" s="42" r="E463">
        <v>34</v>
      </c>
      <c t="s" s="42" r="F463">
        <v>34</v>
      </c>
      <c t="str" s="30" r="G463">
        <f>HYPERLINK("http://sofifa.com/en/14w/p/n/14","Eng")</f>
        <v>Eng</v>
      </c>
      <c t="str" s="30" r="H463">
        <f>HYPERLINK("http://sofifa.com/en/14w/p/150181-alex-brister","A. Brister")</f>
        <v>A. Brister</v>
      </c>
      <c s="21" r="I463">
        <v>62</v>
      </c>
      <c t="s" s="21" r="J463">
        <v>72</v>
      </c>
      <c t="s" s="21" r="K463">
        <v>89</v>
      </c>
      <c s="21" r="L463">
        <v>19</v>
      </c>
      <c s="42" r="M463">
        <v>0.7</v>
      </c>
      <c s="42" r="N463">
        <v>0.003</v>
      </c>
      <c s="42" r="O463"/>
      <c s="42" r="P463">
        <f>IF((O463&gt;0),N463,0)</f>
        <v>0</v>
      </c>
      <c s="42" r="Q463"/>
    </row>
    <row r="464">
      <c t="s" s="42" r="A464">
        <v>47</v>
      </c>
      <c s="42" r="B464">
        <v>463</v>
      </c>
      <c s="21" r="C464">
        <v>1</v>
      </c>
      <c t="s" s="21" r="D464">
        <v>70</v>
      </c>
      <c t="s" s="42" r="E464">
        <v>48</v>
      </c>
      <c t="s" s="42" r="F464">
        <v>48</v>
      </c>
      <c t="str" s="30" r="G464">
        <f>HYPERLINK("http://sofifa.com/en/14w/p/n/14","Eng")</f>
        <v>Eng</v>
      </c>
      <c t="str" s="30" r="H464">
        <f>HYPERLINK("http://sofifa.com/en/14w/p/147568-john-ruddy","J. Ruddy")</f>
        <v>J. Ruddy</v>
      </c>
      <c s="21" r="I464">
        <v>78</v>
      </c>
      <c t="s" s="21" r="J464">
        <v>70</v>
      </c>
      <c t="s" s="21" r="K464">
        <v>91</v>
      </c>
      <c s="21" r="L464">
        <v>26</v>
      </c>
      <c s="42" r="M464">
        <v>5.3</v>
      </c>
      <c s="42" r="N464">
        <v>0.019</v>
      </c>
      <c s="42" r="O464"/>
      <c s="42" r="P464">
        <f>IF((O464&gt;0),N464,0)</f>
        <v>0</v>
      </c>
      <c s="42" r="Q464"/>
    </row>
    <row r="465">
      <c t="s" s="42" r="A465">
        <v>47</v>
      </c>
      <c s="42" r="B465">
        <v>464</v>
      </c>
      <c s="21" r="C465">
        <v>2</v>
      </c>
      <c t="s" s="21" r="D465">
        <v>72</v>
      </c>
      <c t="s" s="42" r="E465">
        <v>48</v>
      </c>
      <c t="s" s="42" r="F465">
        <v>48</v>
      </c>
      <c t="str" s="30" r="G465">
        <f>HYPERLINK("http://sofifa.com/en/14w/p/n/42","Sco")</f>
        <v>Sco</v>
      </c>
      <c t="str" s="30" r="H465">
        <f>HYPERLINK("http://sofifa.com/en/14w/p/147275-russell-martin","R. Martin")</f>
        <v>R. Martin</v>
      </c>
      <c s="21" r="I465">
        <v>73</v>
      </c>
      <c t="s" s="21" r="J465">
        <v>72</v>
      </c>
      <c t="s" s="21" r="K465">
        <v>89</v>
      </c>
      <c s="21" r="L465">
        <v>27</v>
      </c>
      <c s="42" r="M465">
        <v>2.7</v>
      </c>
      <c s="42" r="N465">
        <v>0.01</v>
      </c>
      <c s="42" r="O465"/>
      <c s="42" r="P465">
        <f>IF((O465&gt;0),N465,0)</f>
        <v>0</v>
      </c>
      <c s="42" r="Q465"/>
    </row>
    <row r="466">
      <c t="s" s="42" r="A466">
        <v>47</v>
      </c>
      <c s="42" r="B466">
        <v>465</v>
      </c>
      <c s="21" r="C466">
        <v>6</v>
      </c>
      <c t="s" s="21" r="D466">
        <v>74</v>
      </c>
      <c t="s" s="42" r="E466">
        <v>48</v>
      </c>
      <c t="s" s="42" r="F466">
        <v>48</v>
      </c>
      <c t="str" s="30" r="G466">
        <f>HYPERLINK("http://sofifa.com/en/14w/p/n/14","Eng")</f>
        <v>Eng</v>
      </c>
      <c t="str" s="30" r="H466">
        <f>HYPERLINK("http://sofifa.com/en/14w/p/146488-michael-turner","M. Turner")</f>
        <v>M. Turner</v>
      </c>
      <c s="21" r="I466">
        <v>74</v>
      </c>
      <c t="s" s="21" r="J466">
        <v>75</v>
      </c>
      <c t="s" s="21" r="K466">
        <v>91</v>
      </c>
      <c s="21" r="L466">
        <v>29</v>
      </c>
      <c s="42" r="M466">
        <v>3</v>
      </c>
      <c s="42" r="N466">
        <v>0.012</v>
      </c>
      <c s="42" r="O466"/>
      <c s="42" r="P466">
        <f>IF((O466&gt;0),N466,0)</f>
        <v>0</v>
      </c>
      <c s="42" r="Q466"/>
    </row>
    <row r="467">
      <c t="s" s="42" r="A467">
        <v>47</v>
      </c>
      <c s="42" r="B467">
        <v>466</v>
      </c>
      <c s="21" r="C467">
        <v>24</v>
      </c>
      <c t="s" s="21" r="D467">
        <v>77</v>
      </c>
      <c t="s" s="42" r="E467">
        <v>48</v>
      </c>
      <c t="s" s="42" r="F467">
        <v>48</v>
      </c>
      <c t="str" s="30" r="G467">
        <f>HYPERLINK("http://sofifa.com/en/14w/p/n/14","Eng")</f>
        <v>Eng</v>
      </c>
      <c t="str" s="30" r="H467">
        <f>HYPERLINK("http://sofifa.com/en/14w/p/148797-ryan-bennett","R. Bennett")</f>
        <v>R. Bennett</v>
      </c>
      <c s="21" r="I467">
        <v>69</v>
      </c>
      <c t="s" s="21" r="J467">
        <v>75</v>
      </c>
      <c t="s" s="21" r="K467">
        <v>79</v>
      </c>
      <c s="21" r="L467">
        <v>23</v>
      </c>
      <c s="42" r="M467">
        <v>1.8</v>
      </c>
      <c s="42" r="N467">
        <v>0.006</v>
      </c>
      <c s="42" r="O467"/>
      <c s="42" r="P467">
        <f>IF((O467&gt;0),N467,0)</f>
        <v>0</v>
      </c>
      <c s="42" r="Q467"/>
    </row>
    <row r="468">
      <c t="s" s="42" r="A468">
        <v>47</v>
      </c>
      <c s="42" r="B468">
        <v>467</v>
      </c>
      <c s="21" r="C468">
        <v>23</v>
      </c>
      <c t="s" s="21" r="D468">
        <v>78</v>
      </c>
      <c t="s" s="42" r="E468">
        <v>48</v>
      </c>
      <c t="s" s="42" r="F468">
        <v>48</v>
      </c>
      <c t="str" s="30" r="G468">
        <f>HYPERLINK("http://sofifa.com/en/14w/p/n/46","Swe")</f>
        <v>Swe</v>
      </c>
      <c t="str" s="30" r="H468">
        <f>HYPERLINK("http://sofifa.com/en/14w/p/148139-martin-olsson","M. Olsson")</f>
        <v>M. Olsson</v>
      </c>
      <c s="21" r="I468">
        <v>73</v>
      </c>
      <c t="s" s="21" r="J468">
        <v>78</v>
      </c>
      <c t="s" s="21" r="K468">
        <v>82</v>
      </c>
      <c s="21" r="L468">
        <v>25</v>
      </c>
      <c s="42" r="M468">
        <v>2.8</v>
      </c>
      <c s="42" r="N468">
        <v>0.01</v>
      </c>
      <c s="42" r="O468"/>
      <c s="42" r="P468">
        <f>IF((O468&gt;0),N468,0)</f>
        <v>0</v>
      </c>
      <c s="42" r="Q468"/>
    </row>
    <row r="469">
      <c t="s" s="42" r="A469">
        <v>47</v>
      </c>
      <c s="42" r="B469">
        <v>468</v>
      </c>
      <c s="21" r="C469">
        <v>27</v>
      </c>
      <c t="s" s="21" r="D469">
        <v>98</v>
      </c>
      <c t="s" s="42" r="E469">
        <v>48</v>
      </c>
      <c t="s" s="42" r="F469">
        <v>48</v>
      </c>
      <c t="str" s="30" r="G469">
        <f>HYPERLINK("http://sofifa.com/en/14w/p/n/36","Nor")</f>
        <v>Nor</v>
      </c>
      <c t="str" s="30" r="H469">
        <f>HYPERLINK("http://sofifa.com/en/14w/p/147365-alexander-tettey","A. Tettey")</f>
        <v>A. Tettey</v>
      </c>
      <c s="21" r="I469">
        <v>74</v>
      </c>
      <c t="s" s="21" r="J469">
        <v>81</v>
      </c>
      <c t="s" s="21" r="K469">
        <v>79</v>
      </c>
      <c s="21" r="L469">
        <v>27</v>
      </c>
      <c s="42" r="M469">
        <v>3.2</v>
      </c>
      <c s="42" r="N469">
        <v>0.011</v>
      </c>
      <c s="42" r="O469"/>
      <c s="42" r="P469">
        <f>IF((O469&gt;0),N469,0)</f>
        <v>0</v>
      </c>
      <c s="42" r="Q469"/>
    </row>
    <row r="470">
      <c t="s" s="42" r="A470">
        <v>47</v>
      </c>
      <c s="42" r="B470">
        <v>469</v>
      </c>
      <c s="21" r="C470">
        <v>7</v>
      </c>
      <c t="s" s="21" r="D470">
        <v>84</v>
      </c>
      <c t="s" s="42" r="E470">
        <v>48</v>
      </c>
      <c t="s" s="42" r="F470">
        <v>48</v>
      </c>
      <c t="str" s="30" r="G470">
        <f>HYPERLINK("http://sofifa.com/en/14w/p/n/42","Sco")</f>
        <v>Sco</v>
      </c>
      <c t="str" s="30" r="H470">
        <f>HYPERLINK("http://sofifa.com/en/14w/p/147886-robert-snodgrass","R. Snodgrass")</f>
        <v>R. Snodgrass</v>
      </c>
      <c s="21" r="I470">
        <v>75</v>
      </c>
      <c t="s" s="21" r="J470">
        <v>84</v>
      </c>
      <c t="s" s="21" r="K470">
        <v>89</v>
      </c>
      <c s="21" r="L470">
        <v>25</v>
      </c>
      <c s="42" r="M470">
        <v>4.3</v>
      </c>
      <c s="42" r="N470">
        <v>0.013</v>
      </c>
      <c s="42" r="O470"/>
      <c s="42" r="P470">
        <f>IF((O470&gt;0),N470,0)</f>
        <v>0</v>
      </c>
      <c s="42" r="Q470"/>
    </row>
    <row r="471">
      <c t="s" s="42" r="A471">
        <v>47</v>
      </c>
      <c s="42" r="B471">
        <v>470</v>
      </c>
      <c s="21" r="C471">
        <v>8</v>
      </c>
      <c t="s" s="21" r="D471">
        <v>102</v>
      </c>
      <c t="s" s="42" r="E471">
        <v>48</v>
      </c>
      <c t="s" s="42" r="F471">
        <v>48</v>
      </c>
      <c t="str" s="30" r="G471">
        <f>HYPERLINK("http://sofifa.com/en/14w/p/n/14","Eng")</f>
        <v>Eng</v>
      </c>
      <c t="str" s="30" r="H471">
        <f>HYPERLINK("http://sofifa.com/en/14w/p/148143-jonathan-howson","J. Howson")</f>
        <v>J. Howson</v>
      </c>
      <c s="21" r="I471">
        <v>72</v>
      </c>
      <c t="s" s="21" r="J471">
        <v>81</v>
      </c>
      <c t="s" s="21" r="K471">
        <v>79</v>
      </c>
      <c s="21" r="L471">
        <v>25</v>
      </c>
      <c s="42" r="M471">
        <v>2.6</v>
      </c>
      <c s="42" r="N471">
        <v>0.009</v>
      </c>
      <c s="42" r="O471"/>
      <c s="42" r="P471">
        <f>IF((O471&gt;0),N471,0)</f>
        <v>0</v>
      </c>
      <c s="42" r="Q471"/>
    </row>
    <row r="472">
      <c t="s" s="42" r="A472">
        <v>47</v>
      </c>
      <c s="42" r="B472">
        <v>471</v>
      </c>
      <c s="21" r="C472">
        <v>10</v>
      </c>
      <c t="s" s="21" r="D472">
        <v>103</v>
      </c>
      <c t="s" s="42" r="E472">
        <v>48</v>
      </c>
      <c t="s" s="42" r="F472">
        <v>48</v>
      </c>
      <c t="str" s="30" r="G472">
        <f>HYPERLINK("http://sofifa.com/en/14w/p/n/34","Net")</f>
        <v>Net</v>
      </c>
      <c t="str" s="30" r="H472">
        <f>HYPERLINK("http://sofifa.com/en/14w/p/148737-leroy-fer","L. Fer")</f>
        <v>L. Fer</v>
      </c>
      <c s="21" r="I472">
        <v>76</v>
      </c>
      <c t="s" s="21" r="J472">
        <v>81</v>
      </c>
      <c t="s" s="21" r="K472">
        <v>99</v>
      </c>
      <c s="21" r="L472">
        <v>23</v>
      </c>
      <c s="42" r="M472">
        <v>5.7</v>
      </c>
      <c s="42" r="N472">
        <v>0.014</v>
      </c>
      <c s="42" r="O472"/>
      <c s="42" r="P472">
        <f>IF((O472&gt;0),N472,0)</f>
        <v>0</v>
      </c>
      <c s="42" r="Q472"/>
    </row>
    <row r="473">
      <c t="s" s="42" r="A473">
        <v>47</v>
      </c>
      <c s="42" r="B473">
        <v>472</v>
      </c>
      <c s="21" r="C473">
        <v>12</v>
      </c>
      <c t="s" s="21" r="D473">
        <v>87</v>
      </c>
      <c t="s" s="42" r="E473">
        <v>48</v>
      </c>
      <c t="s" s="42" r="F473">
        <v>48</v>
      </c>
      <c t="str" s="30" r="G473">
        <f>HYPERLINK("http://sofifa.com/en/14w/p/n/25","Rep")</f>
        <v>Rep</v>
      </c>
      <c t="str" s="30" r="H473">
        <f>HYPERLINK("http://sofifa.com/en/14w/p/148159-anthony-pilkington","A. Pilkington")</f>
        <v>A. Pilkington</v>
      </c>
      <c s="21" r="I473">
        <v>73</v>
      </c>
      <c t="s" s="21" r="J473">
        <v>87</v>
      </c>
      <c t="s" s="21" r="K473">
        <v>79</v>
      </c>
      <c s="21" r="L473">
        <v>25</v>
      </c>
      <c s="42" r="M473">
        <v>3.1</v>
      </c>
      <c s="42" r="N473">
        <v>0.01</v>
      </c>
      <c s="42" r="O473"/>
      <c s="42" r="P473">
        <f>IF((O473&gt;0),N473,0)</f>
        <v>0</v>
      </c>
      <c s="42" r="Q473"/>
    </row>
    <row r="474">
      <c t="s" s="42" r="A474">
        <v>47</v>
      </c>
      <c s="42" r="B474">
        <v>473</v>
      </c>
      <c s="21" r="C474">
        <v>9</v>
      </c>
      <c t="s" s="21" r="D474">
        <v>90</v>
      </c>
      <c t="s" s="42" r="E474">
        <v>48</v>
      </c>
      <c t="s" s="42" r="F474">
        <v>48</v>
      </c>
      <c t="str" s="30" r="G474">
        <f>HYPERLINK("http://sofifa.com/en/14w/p/n/34","Net")</f>
        <v>Net</v>
      </c>
      <c t="str" s="30" r="H474">
        <f>HYPERLINK("http://sofifa.com/en/14w/p/148394-ricky-van-wolfswinkel","R. van Wolfswinkel")</f>
        <v>R. van Wolfswinkel</v>
      </c>
      <c s="21" r="I474">
        <v>74</v>
      </c>
      <c t="s" s="21" r="J474">
        <v>90</v>
      </c>
      <c t="s" s="21" r="K474">
        <v>73</v>
      </c>
      <c s="21" r="L474">
        <v>24</v>
      </c>
      <c s="42" r="M474">
        <v>4.1</v>
      </c>
      <c s="42" r="N474">
        <v>0.011</v>
      </c>
      <c s="42" r="O474"/>
      <c s="42" r="P474">
        <f>IF((O474&gt;0),N474,0)</f>
        <v>0</v>
      </c>
      <c s="42" r="Q474"/>
    </row>
    <row r="475">
      <c t="s" s="42" r="A475">
        <v>47</v>
      </c>
      <c s="42" r="B475">
        <v>474</v>
      </c>
      <c s="21" r="C475">
        <v>17</v>
      </c>
      <c t="s" s="21" r="D475">
        <v>92</v>
      </c>
      <c t="s" s="42" r="E475">
        <v>48</v>
      </c>
      <c t="s" s="42" r="F475">
        <v>48</v>
      </c>
      <c t="str" s="30" r="G475">
        <f>HYPERLINK("http://sofifa.com/en/14w/p/n/14","Eng")</f>
        <v>Eng</v>
      </c>
      <c t="str" s="30" r="H475">
        <f>HYPERLINK("http://sofifa.com/en/14w/p/148354-elliott-bennett","E. Bennett")</f>
        <v>E. Bennett</v>
      </c>
      <c s="21" r="I475">
        <v>71</v>
      </c>
      <c t="s" s="21" r="J475">
        <v>84</v>
      </c>
      <c t="s" s="21" r="K475">
        <v>82</v>
      </c>
      <c s="21" r="L475">
        <v>24</v>
      </c>
      <c s="42" r="M475">
        <v>2.4</v>
      </c>
      <c s="42" r="N475">
        <v>0.008</v>
      </c>
      <c s="42" r="O475"/>
      <c s="42" r="P475">
        <f>IF((O475&gt;0),N475,0)</f>
        <v>0</v>
      </c>
      <c s="42" r="Q475"/>
    </row>
    <row r="476">
      <c t="s" s="42" r="A476">
        <v>47</v>
      </c>
      <c s="42" r="B476">
        <v>475</v>
      </c>
      <c s="21" r="C476">
        <v>22</v>
      </c>
      <c t="s" s="21" r="D476">
        <v>92</v>
      </c>
      <c t="s" s="42" r="E476">
        <v>48</v>
      </c>
      <c t="s" s="42" r="F476">
        <v>48</v>
      </c>
      <c t="str" s="30" r="G476">
        <f>HYPERLINK("http://sofifa.com/en/14w/p/n/14","Eng")</f>
        <v>Eng</v>
      </c>
      <c t="str" s="30" r="H476">
        <f>HYPERLINK("http://sofifa.com/en/14w/p/150258-nathan-redmond","N. Redmond")</f>
        <v>N. Redmond</v>
      </c>
      <c s="21" r="I476">
        <v>72</v>
      </c>
      <c t="s" s="21" r="J476">
        <v>84</v>
      </c>
      <c t="s" s="21" r="K476">
        <v>86</v>
      </c>
      <c s="21" r="L476">
        <v>19</v>
      </c>
      <c s="42" r="M476">
        <v>3.1</v>
      </c>
      <c s="42" r="N476">
        <v>0.007</v>
      </c>
      <c s="42" r="O476"/>
      <c s="42" r="P476">
        <f>IF((O476&gt;0),N476,0)</f>
        <v>0</v>
      </c>
      <c s="42" r="Q476"/>
    </row>
    <row r="477">
      <c t="s" s="42" r="A477">
        <v>47</v>
      </c>
      <c s="42" r="B477">
        <v>476</v>
      </c>
      <c s="21" r="C477">
        <v>31</v>
      </c>
      <c t="s" s="21" r="D477">
        <v>92</v>
      </c>
      <c t="s" s="42" r="E477">
        <v>48</v>
      </c>
      <c t="s" s="42" r="F477">
        <v>48</v>
      </c>
      <c t="str" s="30" r="G477">
        <f>HYPERLINK("http://sofifa.com/en/14w/p/n/14","Eng")</f>
        <v>Eng</v>
      </c>
      <c t="str" s="30" r="H477">
        <f>HYPERLINK("http://sofifa.com/en/14w/p/150613-josh-murphy","J. Murphy")</f>
        <v>J. Murphy</v>
      </c>
      <c s="21" r="I477">
        <v>57</v>
      </c>
      <c t="s" s="21" r="J477">
        <v>87</v>
      </c>
      <c t="s" s="21" r="K477">
        <v>86</v>
      </c>
      <c s="21" r="L477">
        <v>18</v>
      </c>
      <c s="42" r="M477">
        <v>0.2</v>
      </c>
      <c s="42" r="N477">
        <v>0.002</v>
      </c>
      <c s="42" r="O477"/>
      <c s="42" r="P477">
        <f>IF((O477&gt;0),N477,0)</f>
        <v>0</v>
      </c>
      <c s="42" r="Q477"/>
    </row>
    <row r="478">
      <c t="s" s="42" r="A478">
        <v>47</v>
      </c>
      <c s="42" r="B478">
        <v>477</v>
      </c>
      <c s="21" r="C478">
        <v>16</v>
      </c>
      <c t="s" s="21" r="D478">
        <v>92</v>
      </c>
      <c t="s" s="42" r="E478">
        <v>48</v>
      </c>
      <c t="s" s="42" r="F478">
        <v>48</v>
      </c>
      <c t="str" s="30" r="G478">
        <f>HYPERLINK("http://sofifa.com/en/14w/p/n/46","Swe")</f>
        <v>Swe</v>
      </c>
      <c t="str" s="30" r="H478">
        <f>HYPERLINK("http://sofifa.com/en/14w/p/145592-johan-elmander","J. Elmander")</f>
        <v>J. Elmander</v>
      </c>
      <c s="21" r="I478">
        <v>75</v>
      </c>
      <c t="s" s="21" r="J478">
        <v>90</v>
      </c>
      <c t="s" s="21" r="K478">
        <v>99</v>
      </c>
      <c s="21" r="L478">
        <v>32</v>
      </c>
      <c s="42" r="M478">
        <v>3.7</v>
      </c>
      <c s="42" r="N478">
        <v>0.015</v>
      </c>
      <c s="42" r="O478"/>
      <c s="42" r="P478">
        <f>IF((O478&gt;0),N478,0)</f>
        <v>0</v>
      </c>
      <c s="42" r="Q478"/>
    </row>
    <row r="479">
      <c t="s" s="42" r="A479">
        <v>47</v>
      </c>
      <c s="42" r="B479">
        <v>478</v>
      </c>
      <c s="21" r="C479">
        <v>11</v>
      </c>
      <c t="s" s="21" r="D479">
        <v>92</v>
      </c>
      <c t="s" s="42" r="E479">
        <v>48</v>
      </c>
      <c t="s" s="42" r="F479">
        <v>48</v>
      </c>
      <c t="str" s="30" r="G479">
        <f>HYPERLINK("http://sofifa.com/en/14w/p/n/14","Eng")</f>
        <v>Eng</v>
      </c>
      <c t="str" s="30" r="H479">
        <f>HYPERLINK("http://sofifa.com/en/14w/p/148027-gary-hooper","G. Hooper")</f>
        <v>G. Hooper</v>
      </c>
      <c s="21" r="I479">
        <v>74</v>
      </c>
      <c t="s" s="21" r="J479">
        <v>90</v>
      </c>
      <c t="s" s="21" r="K479">
        <v>94</v>
      </c>
      <c s="21" r="L479">
        <v>25</v>
      </c>
      <c s="42" r="M479">
        <v>4.1</v>
      </c>
      <c s="42" r="N479">
        <v>0.011</v>
      </c>
      <c s="42" r="O479"/>
      <c s="42" r="P479">
        <f>IF((O479&gt;0),N479,0)</f>
        <v>0</v>
      </c>
      <c s="42" r="Q479"/>
    </row>
    <row r="480">
      <c t="s" s="42" r="A480">
        <v>47</v>
      </c>
      <c s="42" r="B480">
        <v>479</v>
      </c>
      <c s="21" r="C480">
        <v>18</v>
      </c>
      <c t="s" s="21" r="D480">
        <v>92</v>
      </c>
      <c t="s" s="42" r="E480">
        <v>48</v>
      </c>
      <c t="s" s="42" r="F480">
        <v>48</v>
      </c>
      <c t="str" s="30" r="G480">
        <f>HYPERLINK("http://sofifa.com/en/14w/p/n/45","Spa")</f>
        <v>Spa</v>
      </c>
      <c t="str" s="30" r="H480">
        <f>HYPERLINK("http://sofifa.com/en/14w/p/146980-javier-garrido-behobide","Garrido")</f>
        <v>Garrido</v>
      </c>
      <c s="21" r="I480">
        <v>73</v>
      </c>
      <c t="s" s="21" r="J480">
        <v>78</v>
      </c>
      <c t="s" s="21" r="K480">
        <v>82</v>
      </c>
      <c s="21" r="L480">
        <v>28</v>
      </c>
      <c s="42" r="M480">
        <v>2.7</v>
      </c>
      <c s="42" r="N480">
        <v>0.01</v>
      </c>
      <c s="42" r="O480"/>
      <c s="42" r="P480">
        <f>IF((O480&gt;0),N480,0)</f>
        <v>0</v>
      </c>
      <c s="42" r="Q480"/>
    </row>
    <row r="481">
      <c t="s" s="42" r="A481">
        <v>47</v>
      </c>
      <c s="42" r="B481">
        <v>480</v>
      </c>
      <c s="21" r="C481">
        <v>3</v>
      </c>
      <c t="s" s="21" r="D481">
        <v>92</v>
      </c>
      <c t="s" s="42" r="E481">
        <v>48</v>
      </c>
      <c t="s" s="42" r="F481">
        <v>48</v>
      </c>
      <c t="str" s="30" r="G481">
        <f>HYPERLINK("http://sofifa.com/en/14w/p/n/42","Sco")</f>
        <v>Sco</v>
      </c>
      <c t="str" s="30" r="H481">
        <f>HYPERLINK("http://sofifa.com/en/14w/p/146708-steven-whittaker","S. Whittaker")</f>
        <v>S. Whittaker</v>
      </c>
      <c s="21" r="I481">
        <v>71</v>
      </c>
      <c t="s" s="21" r="J481">
        <v>72</v>
      </c>
      <c t="s" s="21" r="K481">
        <v>73</v>
      </c>
      <c s="21" r="L481">
        <v>29</v>
      </c>
      <c s="42" r="M481">
        <v>1.9</v>
      </c>
      <c s="42" r="N481">
        <v>0.008</v>
      </c>
      <c s="42" r="O481"/>
      <c s="42" r="P481">
        <f>IF((O481&gt;0),N481,0)</f>
        <v>0</v>
      </c>
      <c s="42" r="Q481"/>
    </row>
    <row r="482">
      <c t="s" s="42" r="A482">
        <v>47</v>
      </c>
      <c s="42" r="B482">
        <v>481</v>
      </c>
      <c s="21" r="C482">
        <v>14</v>
      </c>
      <c t="s" s="21" r="D482">
        <v>92</v>
      </c>
      <c t="s" s="42" r="E482">
        <v>48</v>
      </c>
      <c t="s" s="42" r="F482">
        <v>48</v>
      </c>
      <c t="str" s="30" r="G482">
        <f>HYPERLINK("http://sofifa.com/en/14w/p/n/25","Rep")</f>
        <v>Rep</v>
      </c>
      <c t="str" s="30" r="H482">
        <f>HYPERLINK("http://sofifa.com/en/14w/p/145950-wes-hoolahan","W. Hoolahan")</f>
        <v>W. Hoolahan</v>
      </c>
      <c s="21" r="I482">
        <v>75</v>
      </c>
      <c t="s" s="21" r="J482">
        <v>88</v>
      </c>
      <c t="s" s="21" r="K482">
        <v>93</v>
      </c>
      <c s="21" r="L482">
        <v>31</v>
      </c>
      <c s="42" r="M482">
        <v>3.8</v>
      </c>
      <c s="42" r="N482">
        <v>0.015</v>
      </c>
      <c s="42" r="O482"/>
      <c s="42" r="P482">
        <f>IF((O482&gt;0),N482,0)</f>
        <v>0</v>
      </c>
      <c s="42" r="Q482"/>
    </row>
    <row r="483">
      <c t="s" s="42" r="A483">
        <v>47</v>
      </c>
      <c s="42" r="B483">
        <v>482</v>
      </c>
      <c s="21" r="C483">
        <v>4</v>
      </c>
      <c t="s" s="21" r="D483">
        <v>92</v>
      </c>
      <c t="s" s="42" r="E483">
        <v>48</v>
      </c>
      <c t="s" s="42" r="F483">
        <v>48</v>
      </c>
      <c t="str" s="30" r="G483">
        <f>HYPERLINK("http://sofifa.com/en/14w/p/n/14","Eng")</f>
        <v>Eng</v>
      </c>
      <c t="str" s="30" r="H483">
        <f>HYPERLINK("http://sofifa.com/en/14w/p/147754-bradley-johnson","B. Johnson")</f>
        <v>B. Johnson</v>
      </c>
      <c s="21" r="I483">
        <v>73</v>
      </c>
      <c t="s" s="21" r="J483">
        <v>81</v>
      </c>
      <c t="s" s="21" r="K483">
        <v>82</v>
      </c>
      <c s="21" r="L483">
        <v>26</v>
      </c>
      <c s="42" r="M483">
        <v>2.9</v>
      </c>
      <c s="42" r="N483">
        <v>0.01</v>
      </c>
      <c s="42" r="O483"/>
      <c s="42" r="P483">
        <f>IF((O483&gt;0),N483,0)</f>
        <v>0</v>
      </c>
      <c s="42" r="Q483"/>
    </row>
    <row r="484">
      <c t="s" s="42" r="A484">
        <v>47</v>
      </c>
      <c s="42" r="B484">
        <v>483</v>
      </c>
      <c s="21" r="C484">
        <v>19</v>
      </c>
      <c t="s" s="21" r="D484">
        <v>92</v>
      </c>
      <c t="s" s="42" r="E484">
        <v>48</v>
      </c>
      <c t="s" s="42" r="F484">
        <v>48</v>
      </c>
      <c t="str" s="30" r="G484">
        <f>HYPERLINK("http://sofifa.com/en/14w/p/n/52","Arg")</f>
        <v>Arg</v>
      </c>
      <c t="str" s="30" r="H484">
        <f>HYPERLINK("http://sofifa.com/en/14w/p/146537-luciano-becchio","L. Becchio")</f>
        <v>L. Becchio</v>
      </c>
      <c s="21" r="I484">
        <v>71</v>
      </c>
      <c t="s" s="21" r="J484">
        <v>90</v>
      </c>
      <c t="s" s="21" r="K484">
        <v>73</v>
      </c>
      <c s="21" r="L484">
        <v>29</v>
      </c>
      <c s="42" r="M484">
        <v>2.4</v>
      </c>
      <c s="42" r="N484">
        <v>0.008</v>
      </c>
      <c s="42" r="O484"/>
      <c s="42" r="P484">
        <f>IF((O484&gt;0),N484,0)</f>
        <v>0</v>
      </c>
      <c s="42" r="Q484"/>
    </row>
    <row r="485">
      <c t="s" s="42" r="A485">
        <v>47</v>
      </c>
      <c s="42" r="B485">
        <v>484</v>
      </c>
      <c s="21" r="C485">
        <v>13</v>
      </c>
      <c t="s" s="21" r="D485">
        <v>92</v>
      </c>
      <c t="s" s="42" r="E485">
        <v>48</v>
      </c>
      <c t="s" s="42" r="F485">
        <v>48</v>
      </c>
      <c t="str" s="30" r="G485">
        <f>HYPERLINK("http://sofifa.com/en/14w/p/n/14","Eng")</f>
        <v>Eng</v>
      </c>
      <c t="str" s="30" r="H485">
        <f>HYPERLINK("http://sofifa.com/en/14w/p/146861-mark-bunn","M. Bunn")</f>
        <v>M. Bunn</v>
      </c>
      <c s="21" r="I485">
        <v>69</v>
      </c>
      <c t="s" s="21" r="J485">
        <v>70</v>
      </c>
      <c t="s" s="21" r="K485">
        <v>89</v>
      </c>
      <c s="21" r="L485">
        <v>28</v>
      </c>
      <c s="42" r="M485">
        <v>1.4</v>
      </c>
      <c s="42" r="N485">
        <v>0.007</v>
      </c>
      <c s="42" r="O485"/>
      <c s="42" r="P485">
        <f>IF((O485&gt;0),N485,0)</f>
        <v>0</v>
      </c>
      <c s="42" r="Q485"/>
    </row>
    <row r="486">
      <c t="s" s="42" r="A486">
        <v>47</v>
      </c>
      <c s="42" r="B486">
        <v>485</v>
      </c>
      <c s="21" r="C486">
        <v>5</v>
      </c>
      <c t="s" s="21" r="D486">
        <v>92</v>
      </c>
      <c t="s" s="42" r="E486">
        <v>48</v>
      </c>
      <c t="s" s="42" r="F486">
        <v>48</v>
      </c>
      <c t="str" s="30" r="G486">
        <f>HYPERLINK("http://sofifa.com/en/14w/p/n/103","Cam")</f>
        <v>Cam</v>
      </c>
      <c t="str" s="30" r="H486">
        <f>HYPERLINK("http://sofifa.com/en/14w/p/147461-sebastien-bassong","S. Bassong")</f>
        <v>S. Bassong</v>
      </c>
      <c s="21" r="I486">
        <v>76</v>
      </c>
      <c t="s" s="21" r="J486">
        <v>75</v>
      </c>
      <c t="s" s="21" r="K486">
        <v>99</v>
      </c>
      <c s="21" r="L486">
        <v>26</v>
      </c>
      <c s="42" r="M486">
        <v>4.8</v>
      </c>
      <c s="42" r="N486">
        <v>0.015</v>
      </c>
      <c s="42" r="O486"/>
      <c s="42" r="P486">
        <f>IF((O486&gt;0),N486,0)</f>
        <v>0</v>
      </c>
      <c s="42" r="Q486"/>
    </row>
    <row r="487">
      <c t="s" s="42" r="A487">
        <v>47</v>
      </c>
      <c s="42" r="B487">
        <v>486</v>
      </c>
      <c s="21" r="C487">
        <v>47</v>
      </c>
      <c t="s" s="21" r="D487">
        <v>97</v>
      </c>
      <c t="s" s="42" r="E487">
        <v>48</v>
      </c>
      <c t="s" s="42" r="F487">
        <v>48</v>
      </c>
      <c t="str" s="30" r="G487">
        <f>HYPERLINK("http://sofifa.com/en/14w/p/n/35","Nor")</f>
        <v>Nor</v>
      </c>
      <c t="str" s="30" r="H487">
        <f>HYPERLINK("http://sofifa.com/en/14w/p/150664-cameron-mcgeehan","C. McGeehan")</f>
        <v>C. McGeehan</v>
      </c>
      <c s="21" r="I487">
        <v>52</v>
      </c>
      <c t="s" s="21" r="J487">
        <v>81</v>
      </c>
      <c t="s" s="21" r="K487">
        <v>79</v>
      </c>
      <c s="21" r="L487">
        <v>18</v>
      </c>
      <c s="42" r="M487">
        <v>0.1</v>
      </c>
      <c s="42" r="N487">
        <v>0.002</v>
      </c>
      <c s="42" r="O487"/>
      <c s="42" r="P487">
        <f>IF((O487&gt;0),N487,0)</f>
        <v>0</v>
      </c>
      <c s="42" r="Q487"/>
    </row>
    <row r="488">
      <c t="s" s="42" r="A488">
        <v>47</v>
      </c>
      <c s="42" r="B488">
        <v>487</v>
      </c>
      <c s="21" r="C488">
        <v>49</v>
      </c>
      <c t="s" s="21" r="D488">
        <v>97</v>
      </c>
      <c t="s" s="42" r="E488">
        <v>48</v>
      </c>
      <c t="s" s="42" r="F488">
        <v>48</v>
      </c>
      <c t="str" s="30" r="G488">
        <f>HYPERLINK("http://sofifa.com/en/14w/p/n/14","Eng")</f>
        <v>Eng</v>
      </c>
      <c t="str" s="30" r="H488">
        <f>HYPERLINK("http://sofifa.com/en/14w/p/150789-harry-toffolo","H. Toffolo")</f>
        <v>H. Toffolo</v>
      </c>
      <c s="21" r="I488">
        <v>52</v>
      </c>
      <c t="s" s="21" r="J488">
        <v>75</v>
      </c>
      <c t="s" s="21" r="K488">
        <v>89</v>
      </c>
      <c s="21" r="L488">
        <v>17</v>
      </c>
      <c s="42" r="M488">
        <v>0.1</v>
      </c>
      <c s="42" r="N488">
        <v>0.001</v>
      </c>
      <c s="42" r="O488"/>
      <c s="42" r="P488">
        <f>IF((O488&gt;0),N488,0)</f>
        <v>0</v>
      </c>
      <c s="42" r="Q488"/>
    </row>
    <row r="489">
      <c t="s" s="42" r="A489">
        <v>47</v>
      </c>
      <c s="42" r="B489">
        <v>488</v>
      </c>
      <c s="21" r="C489">
        <v>35</v>
      </c>
      <c t="s" s="21" r="D489">
        <v>97</v>
      </c>
      <c t="s" s="42" r="E489">
        <v>48</v>
      </c>
      <c t="s" s="42" r="F489">
        <v>48</v>
      </c>
      <c t="str" s="30" r="G489">
        <f>HYPERLINK("http://sofifa.com/en/14w/p/n/14","Eng")</f>
        <v>Eng</v>
      </c>
      <c t="str" s="30" r="H489">
        <f>HYPERLINK("http://sofifa.com/en/14w/p/150613-jacob-murphy","J. Murphy")</f>
        <v>J. Murphy</v>
      </c>
      <c s="21" r="I489">
        <v>53</v>
      </c>
      <c t="s" s="21" r="J489">
        <v>84</v>
      </c>
      <c t="s" s="21" r="K489">
        <v>94</v>
      </c>
      <c s="21" r="L489">
        <v>18</v>
      </c>
      <c s="42" r="M489">
        <v>0.1</v>
      </c>
      <c s="42" r="N489">
        <v>0.002</v>
      </c>
      <c s="42" r="O489"/>
      <c s="42" r="P489">
        <f>IF((O489&gt;0),N489,0)</f>
        <v>0</v>
      </c>
      <c s="42" r="Q489"/>
    </row>
    <row r="490">
      <c t="s" s="42" r="A490">
        <v>47</v>
      </c>
      <c s="42" r="B490">
        <v>489</v>
      </c>
      <c s="21" r="C490">
        <v>20</v>
      </c>
      <c t="s" s="21" r="D490">
        <v>97</v>
      </c>
      <c t="s" s="42" r="E490">
        <v>48</v>
      </c>
      <c t="s" s="42" r="F490">
        <v>48</v>
      </c>
      <c t="str" s="30" r="G490">
        <f>HYPERLINK("http://sofifa.com/en/14w/p/n/14","Eng")</f>
        <v>Eng</v>
      </c>
      <c t="str" s="30" r="H490">
        <f>HYPERLINK("http://sofifa.com/en/14w/p/142779-carlo-nash","C. Nash")</f>
        <v>C. Nash</v>
      </c>
      <c s="21" r="I490">
        <v>63</v>
      </c>
      <c t="s" s="21" r="J490">
        <v>70</v>
      </c>
      <c t="s" s="21" r="K490">
        <v>71</v>
      </c>
      <c s="21" r="L490">
        <v>39</v>
      </c>
      <c s="42" r="M490">
        <v>0.3</v>
      </c>
      <c s="42" r="N490">
        <v>0.005</v>
      </c>
      <c s="42" r="O490"/>
      <c s="42" r="P490">
        <f>IF((O490&gt;0),N490,0)</f>
        <v>0</v>
      </c>
      <c s="42" r="Q490"/>
    </row>
    <row r="491">
      <c t="s" s="42" r="A491">
        <v>47</v>
      </c>
      <c s="42" r="B491">
        <v>490</v>
      </c>
      <c s="21" r="C491">
        <v>43</v>
      </c>
      <c t="s" s="21" r="D491">
        <v>97</v>
      </c>
      <c t="s" s="42" r="E491">
        <v>48</v>
      </c>
      <c t="s" s="42" r="F491">
        <v>48</v>
      </c>
      <c t="str" s="30" r="G491">
        <f>HYPERLINK("http://sofifa.com/en/14w/p/n/25","Rep")</f>
        <v>Rep</v>
      </c>
      <c t="str" s="30" r="H491">
        <f>HYPERLINK("http://sofifa.com/en/14w/p/150668-kyle-callan-mcfadden","K. Callan-McFadden")</f>
        <v>K. Callan-McFadden</v>
      </c>
      <c s="21" r="I491">
        <v>53</v>
      </c>
      <c t="s" s="21" r="J491">
        <v>75</v>
      </c>
      <c t="s" s="21" r="K491">
        <v>89</v>
      </c>
      <c s="21" r="L491">
        <v>18</v>
      </c>
      <c s="42" r="M491">
        <v>0.1</v>
      </c>
      <c s="42" r="N491">
        <v>0.002</v>
      </c>
      <c s="42" r="O491"/>
      <c s="42" r="P491">
        <f>IF((O491&gt;0),N491,0)</f>
        <v>0</v>
      </c>
      <c s="42" r="Q491"/>
    </row>
    <row r="492">
      <c t="s" s="42" r="A492">
        <v>47</v>
      </c>
      <c s="42" r="B492">
        <v>491</v>
      </c>
      <c s="21" r="C492">
        <v>41</v>
      </c>
      <c t="s" s="21" r="D492">
        <v>97</v>
      </c>
      <c t="s" s="42" r="E492">
        <v>48</v>
      </c>
      <c t="s" s="42" r="F492">
        <v>48</v>
      </c>
      <c t="str" s="30" r="G492">
        <f>HYPERLINK("http://sofifa.com/en/14w/p/n/42","Sco")</f>
        <v>Sco</v>
      </c>
      <c t="str" s="30" r="H492">
        <f>HYPERLINK("http://sofifa.com/en/14w/p/150243-ewan-mcneil","E. McNeil")</f>
        <v>E. McNeil</v>
      </c>
      <c s="21" r="I492">
        <v>51</v>
      </c>
      <c t="s" s="21" r="J492">
        <v>72</v>
      </c>
      <c t="s" s="21" r="K492">
        <v>99</v>
      </c>
      <c s="21" r="L492">
        <v>19</v>
      </c>
      <c s="42" r="M492">
        <v>0.1</v>
      </c>
      <c s="42" r="N492">
        <v>0.002</v>
      </c>
      <c s="42" r="O492"/>
      <c s="42" r="P492">
        <f>IF((O492&gt;0),N492,0)</f>
        <v>0</v>
      </c>
      <c s="42" r="Q492"/>
    </row>
    <row r="493">
      <c t="s" s="42" r="A493">
        <v>47</v>
      </c>
      <c s="42" r="B493">
        <v>492</v>
      </c>
      <c s="21" r="C493">
        <v>30</v>
      </c>
      <c t="s" s="21" r="D493">
        <v>97</v>
      </c>
      <c t="s" s="42" r="E493">
        <v>48</v>
      </c>
      <c t="s" s="42" r="F493">
        <v>48</v>
      </c>
      <c t="str" s="30" r="G493">
        <f>HYPERLINK("http://sofifa.com/en/14w/p/n/82","Jam")</f>
        <v>Jam</v>
      </c>
      <c t="str" s="30" r="H493">
        <f>HYPERLINK("http://sofifa.com/en/14w/p/150323-jamar-loza","J. Loza")</f>
        <v>J. Loza</v>
      </c>
      <c s="21" r="I493">
        <v>50</v>
      </c>
      <c t="s" s="21" r="J493">
        <v>90</v>
      </c>
      <c t="s" s="21" r="K493">
        <v>82</v>
      </c>
      <c s="21" r="L493">
        <v>19</v>
      </c>
      <c s="42" r="M493">
        <v>0.1</v>
      </c>
      <c s="42" r="N493">
        <v>0.002</v>
      </c>
      <c s="42" r="O493"/>
      <c s="42" r="P493">
        <f>IF((O493&gt;0),N493,0)</f>
        <v>0</v>
      </c>
      <c s="42" r="Q493"/>
    </row>
    <row r="494">
      <c t="s" s="42" r="A494">
        <v>47</v>
      </c>
      <c s="42" r="B494">
        <v>493</v>
      </c>
      <c s="21" r="C494">
        <v>46</v>
      </c>
      <c t="s" s="21" r="D494">
        <v>97</v>
      </c>
      <c t="s" s="42" r="E494">
        <v>48</v>
      </c>
      <c t="s" s="42" r="F494">
        <v>48</v>
      </c>
      <c t="str" s="30" r="G494">
        <f>HYPERLINK("http://sofifa.com/en/14w/p/n/14","Eng")</f>
        <v>Eng</v>
      </c>
      <c t="str" s="30" r="H494">
        <f>HYPERLINK("http://sofifa.com/en/14w/p/150234-remi-matthews","R. Matthews")</f>
        <v>R. Matthews</v>
      </c>
      <c s="21" r="I494">
        <v>51</v>
      </c>
      <c t="s" s="21" r="J494">
        <v>70</v>
      </c>
      <c t="s" s="21" r="K494">
        <v>89</v>
      </c>
      <c s="21" r="L494">
        <v>19</v>
      </c>
      <c s="42" r="M494">
        <v>0.1</v>
      </c>
      <c s="42" r="N494">
        <v>0.002</v>
      </c>
      <c s="42" r="O494"/>
      <c s="42" r="P494">
        <f>IF((O494&gt;0),N494,0)</f>
        <v>0</v>
      </c>
      <c s="42" r="Q494"/>
    </row>
    <row r="495">
      <c t="s" s="42" r="A495">
        <v>47</v>
      </c>
      <c s="42" r="B495">
        <v>494</v>
      </c>
      <c s="21" r="C495">
        <v>26</v>
      </c>
      <c t="s" s="21" r="D495">
        <v>97</v>
      </c>
      <c t="s" s="42" r="E495">
        <v>48</v>
      </c>
      <c t="s" s="42" r="F495">
        <v>48</v>
      </c>
      <c t="str" s="30" r="G495">
        <f>HYPERLINK("http://sofifa.com/en/14w/p/n/45","Spa")</f>
        <v>Spa</v>
      </c>
      <c t="str" s="30" r="H495">
        <f>HYPERLINK("http://sofifa.com/en/14w/p/149043-daniel-sanchez-ayala","Daniel Ayala")</f>
        <v>Daniel Ayala</v>
      </c>
      <c s="21" r="I495">
        <v>68</v>
      </c>
      <c t="s" s="21" r="J495">
        <v>75</v>
      </c>
      <c t="s" s="21" r="K495">
        <v>95</v>
      </c>
      <c s="21" r="L495">
        <v>22</v>
      </c>
      <c s="42" r="M495">
        <v>1.6</v>
      </c>
      <c s="42" r="N495">
        <v>0.006</v>
      </c>
      <c s="42" r="O495"/>
      <c s="42" r="P495">
        <f>IF((O495&gt;0),N495,0)</f>
        <v>0</v>
      </c>
      <c s="42" r="Q495"/>
    </row>
    <row r="496">
      <c t="s" s="42" r="A496">
        <v>47</v>
      </c>
      <c s="42" r="B496">
        <v>495</v>
      </c>
      <c s="21" r="C496">
        <v>40</v>
      </c>
      <c t="s" s="21" r="D496">
        <v>97</v>
      </c>
      <c t="s" s="42" r="E496">
        <v>48</v>
      </c>
      <c t="s" s="42" r="F496">
        <v>48</v>
      </c>
      <c t="str" s="30" r="G496">
        <f>HYPERLINK("http://sofifa.com/en/14w/p/n/97","Alg")</f>
        <v>Alg</v>
      </c>
      <c t="str" s="30" r="H496">
        <f>HYPERLINK("http://sofifa.com/en/14w/p/150449-adel-gafaiti","A. Gafaiti")</f>
        <v>A. Gafaiti</v>
      </c>
      <c s="21" r="I496">
        <v>53</v>
      </c>
      <c t="s" s="21" r="J496">
        <v>75</v>
      </c>
      <c t="s" s="21" r="K496">
        <v>73</v>
      </c>
      <c s="21" r="L496">
        <v>18</v>
      </c>
      <c s="42" r="M496">
        <v>0.1</v>
      </c>
      <c s="42" r="N496">
        <v>0.002</v>
      </c>
      <c s="42" r="O496"/>
      <c s="42" r="P496">
        <f>IF((O496&gt;0),N496,0)</f>
        <v>0</v>
      </c>
      <c s="42" r="Q496"/>
    </row>
    <row r="497">
      <c t="s" s="42" r="A497">
        <v>49</v>
      </c>
      <c s="42" r="B497">
        <v>496</v>
      </c>
      <c s="21" r="C497">
        <v>1</v>
      </c>
      <c t="s" s="21" r="D497">
        <v>70</v>
      </c>
      <c t="s" s="42" r="E497">
        <v>50</v>
      </c>
      <c t="s" s="42" r="F497">
        <v>50</v>
      </c>
      <c t="str" s="30" r="G497">
        <f>HYPERLINK("http://sofifa.com/en/14w/p/n/52","Arg")</f>
        <v>Arg</v>
      </c>
      <c t="str" s="30" r="H497">
        <f>HYPERLINK("http://sofifa.com/en/14w/p/144852-julian-speroni","J. Speroni")</f>
        <v>J. Speroni</v>
      </c>
      <c s="21" r="I497">
        <v>74</v>
      </c>
      <c t="s" s="21" r="J497">
        <v>70</v>
      </c>
      <c t="s" s="21" r="K497">
        <v>73</v>
      </c>
      <c s="21" r="L497">
        <v>34</v>
      </c>
      <c s="42" r="M497">
        <v>1.8</v>
      </c>
      <c s="42" r="N497">
        <v>0.014</v>
      </c>
      <c s="42" r="O497"/>
      <c s="42" r="P497">
        <f>IF((O497&gt;0),N497,0)</f>
        <v>0</v>
      </c>
      <c s="42" r="Q497"/>
    </row>
    <row r="498">
      <c t="s" s="42" r="A498">
        <v>49</v>
      </c>
      <c s="42" r="B498">
        <v>497</v>
      </c>
      <c s="21" r="C498">
        <v>2</v>
      </c>
      <c t="s" s="21" r="D498">
        <v>72</v>
      </c>
      <c t="s" s="42" r="E498">
        <v>50</v>
      </c>
      <c t="s" s="42" r="F498">
        <v>50</v>
      </c>
      <c t="str" s="30" r="G498">
        <f>HYPERLINK("http://sofifa.com/en/14w/p/n/14","Eng")</f>
        <v>Eng</v>
      </c>
      <c t="str" s="30" r="H498">
        <f>HYPERLINK("http://sofifa.com/en/14w/p/148669-joel-ward","J. Ward")</f>
        <v>J. Ward</v>
      </c>
      <c s="21" r="I498">
        <v>69</v>
      </c>
      <c t="s" s="21" r="J498">
        <v>72</v>
      </c>
      <c t="s" s="21" r="K498">
        <v>99</v>
      </c>
      <c s="21" r="L498">
        <v>23</v>
      </c>
      <c s="42" r="M498">
        <v>1.7</v>
      </c>
      <c s="42" r="N498">
        <v>0.006</v>
      </c>
      <c s="42" r="O498"/>
      <c s="42" r="P498">
        <f>IF((O498&gt;0),N498,0)</f>
        <v>0</v>
      </c>
      <c s="42" r="Q498"/>
    </row>
    <row r="499">
      <c t="s" s="42" r="A499">
        <v>49</v>
      </c>
      <c s="42" r="B499">
        <v>498</v>
      </c>
      <c s="21" r="C499">
        <v>3</v>
      </c>
      <c t="s" s="21" r="D499">
        <v>74</v>
      </c>
      <c t="s" s="42" r="E499">
        <v>50</v>
      </c>
      <c t="s" s="42" r="F499">
        <v>50</v>
      </c>
      <c t="str" s="30" r="G499">
        <f>HYPERLINK("http://sofifa.com/en/14w/p/n/82","Jam")</f>
        <v>Jam</v>
      </c>
      <c t="str" s="30" r="H499">
        <f>HYPERLINK("http://sofifa.com/en/14w/p/147547-adrian-mariappa","A. Mariappa")</f>
        <v>A. Mariappa</v>
      </c>
      <c s="21" r="I499">
        <v>72</v>
      </c>
      <c t="s" s="21" r="J499">
        <v>75</v>
      </c>
      <c t="s" s="21" r="K499">
        <v>82</v>
      </c>
      <c s="21" r="L499">
        <v>26</v>
      </c>
      <c s="42" r="M499">
        <v>2.5</v>
      </c>
      <c s="42" r="N499">
        <v>0.009</v>
      </c>
      <c s="42" r="O499"/>
      <c s="42" r="P499">
        <f>IF((O499&gt;0),N499,0)</f>
        <v>0</v>
      </c>
      <c s="42" r="Q499"/>
    </row>
    <row r="500">
      <c t="s" s="42" r="A500">
        <v>49</v>
      </c>
      <c s="42" r="B500">
        <v>499</v>
      </c>
      <c s="21" r="C500">
        <v>19</v>
      </c>
      <c t="s" s="21" r="D500">
        <v>77</v>
      </c>
      <c t="s" s="42" r="E500">
        <v>50</v>
      </c>
      <c t="s" s="42" r="F500">
        <v>50</v>
      </c>
      <c t="str" s="30" r="G500">
        <f>HYPERLINK("http://sofifa.com/en/14w/p/n/50","Wal")</f>
        <v>Wal</v>
      </c>
      <c t="str" s="30" r="H500">
        <f>HYPERLINK("http://sofifa.com/en/14w/p/144934-danny-gabbidon","D. Gabbidon")</f>
        <v>D. Gabbidon</v>
      </c>
      <c s="21" r="I500">
        <v>69</v>
      </c>
      <c t="s" s="21" r="J500">
        <v>75</v>
      </c>
      <c t="s" s="21" r="K500">
        <v>82</v>
      </c>
      <c s="21" r="L500">
        <v>33</v>
      </c>
      <c s="42" r="M500">
        <v>1.2</v>
      </c>
      <c s="42" r="N500">
        <v>0.008</v>
      </c>
      <c s="42" r="O500"/>
      <c s="42" r="P500">
        <f>IF((O500&gt;0),N500,0)</f>
        <v>0</v>
      </c>
      <c s="42" r="Q500"/>
    </row>
    <row r="501">
      <c t="s" s="42" r="A501">
        <v>49</v>
      </c>
      <c s="42" r="B501">
        <v>500</v>
      </c>
      <c s="21" r="C501">
        <v>21</v>
      </c>
      <c t="s" s="21" r="D501">
        <v>78</v>
      </c>
      <c t="s" s="42" r="E501">
        <v>50</v>
      </c>
      <c t="s" s="42" r="F501">
        <v>50</v>
      </c>
      <c t="str" s="30" r="G501">
        <f>HYPERLINK("http://sofifa.com/en/14w/p/n/14","Eng")</f>
        <v>Eng</v>
      </c>
      <c t="str" s="30" r="H501">
        <f>HYPERLINK("http://sofifa.com/en/14w/p/147285-dean-moxey","D. Moxey")</f>
        <v>D. Moxey</v>
      </c>
      <c s="21" r="I501">
        <v>67</v>
      </c>
      <c t="s" s="21" r="J501">
        <v>78</v>
      </c>
      <c t="s" s="21" r="K501">
        <v>99</v>
      </c>
      <c s="21" r="L501">
        <v>27</v>
      </c>
      <c s="42" r="M501">
        <v>1.2</v>
      </c>
      <c s="42" r="N501">
        <v>0.006</v>
      </c>
      <c s="42" r="O501"/>
      <c s="42" r="P501">
        <f>IF((O501&gt;0),N501,0)</f>
        <v>0</v>
      </c>
      <c s="42" r="Q501"/>
    </row>
    <row r="502">
      <c t="s" s="42" r="A502">
        <v>49</v>
      </c>
      <c s="42" r="B502">
        <v>501</v>
      </c>
      <c s="21" r="C502">
        <v>15</v>
      </c>
      <c t="s" s="21" r="D502">
        <v>98</v>
      </c>
      <c t="s" s="42" r="E502">
        <v>50</v>
      </c>
      <c t="s" s="42" r="F502">
        <v>50</v>
      </c>
      <c t="str" s="30" r="G502">
        <f>HYPERLINK("http://sofifa.com/en/14w/p/n/195","Aus")</f>
        <v>Aus</v>
      </c>
      <c t="str" s="30" r="H502">
        <f>HYPERLINK("http://sofifa.com/en/14w/p/146756-mile-jedinak","M. Jedinák")</f>
        <v>M. Jedinák</v>
      </c>
      <c s="21" r="I502">
        <v>74</v>
      </c>
      <c t="s" s="21" r="J502">
        <v>98</v>
      </c>
      <c t="s" s="21" r="K502">
        <v>99</v>
      </c>
      <c s="21" r="L502">
        <v>28</v>
      </c>
      <c s="42" r="M502">
        <v>3</v>
      </c>
      <c s="42" r="N502">
        <v>0.011</v>
      </c>
      <c s="42" r="O502"/>
      <c s="42" r="P502">
        <f>IF((O502&gt;0),N502,0)</f>
        <v>0</v>
      </c>
      <c s="42" r="Q502"/>
    </row>
    <row r="503">
      <c t="s" s="42" r="A503">
        <v>49</v>
      </c>
      <c s="42" r="B503">
        <v>502</v>
      </c>
      <c s="21" r="C503">
        <v>28</v>
      </c>
      <c t="s" s="21" r="D503">
        <v>84</v>
      </c>
      <c t="s" s="42" r="E503">
        <v>50</v>
      </c>
      <c t="s" s="42" r="F503">
        <v>50</v>
      </c>
      <c t="str" s="30" r="G503">
        <f>HYPERLINK("http://sofifa.com/en/14w/p/n/126","Mal")</f>
        <v>Mal</v>
      </c>
      <c t="str" s="30" r="H503">
        <f>HYPERLINK("http://sofifa.com/en/14w/p/146559-jimmy-kebe","J. Kébé")</f>
        <v>J. Kébé</v>
      </c>
      <c s="21" r="I503">
        <v>70</v>
      </c>
      <c t="s" s="21" r="J503">
        <v>84</v>
      </c>
      <c t="s" s="21" r="K503">
        <v>99</v>
      </c>
      <c s="21" r="L503">
        <v>29</v>
      </c>
      <c s="42" r="M503">
        <v>1.8</v>
      </c>
      <c s="42" r="N503">
        <v>0.007</v>
      </c>
      <c s="42" r="O503"/>
      <c s="42" r="P503">
        <f>IF((O503&gt;0),N503,0)</f>
        <v>0</v>
      </c>
      <c s="42" r="Q503"/>
    </row>
    <row r="504">
      <c t="s" s="42" r="A504">
        <v>49</v>
      </c>
      <c s="42" r="B504">
        <v>503</v>
      </c>
      <c s="21" r="C504">
        <v>8</v>
      </c>
      <c t="s" s="21" r="D504">
        <v>102</v>
      </c>
      <c t="s" s="42" r="E504">
        <v>50</v>
      </c>
      <c t="s" s="42" r="F504">
        <v>50</v>
      </c>
      <c t="str" s="30" r="G504">
        <f>HYPERLINK("http://sofifa.com/en/14w/p/n/140","Sou")</f>
        <v>Sou</v>
      </c>
      <c t="str" s="30" r="H504">
        <f>HYPERLINK("http://sofifa.com/en/14w/p/146869-kagisho-dikgacoi","K. Dikgacoi")</f>
        <v>K. Dikgacoi</v>
      </c>
      <c s="21" r="I504">
        <v>67</v>
      </c>
      <c t="s" s="21" r="J504">
        <v>98</v>
      </c>
      <c t="s" s="21" r="K504">
        <v>79</v>
      </c>
      <c s="21" r="L504">
        <v>28</v>
      </c>
      <c s="42" r="M504">
        <v>1.2</v>
      </c>
      <c s="42" r="N504">
        <v>0.006</v>
      </c>
      <c s="42" r="O504"/>
      <c s="42" r="P504">
        <f>IF((O504&gt;0),N504,0)</f>
        <v>0</v>
      </c>
      <c s="42" r="Q504"/>
    </row>
    <row r="505">
      <c t="s" s="42" r="A505">
        <v>49</v>
      </c>
      <c s="42" r="B505">
        <v>504</v>
      </c>
      <c s="21" r="C505">
        <v>46</v>
      </c>
      <c t="s" s="21" r="D505">
        <v>103</v>
      </c>
      <c t="s" s="42" r="E505">
        <v>50</v>
      </c>
      <c t="s" s="42" r="F505">
        <v>50</v>
      </c>
      <c t="str" s="30" r="G505">
        <f>HYPERLINK("http://sofifa.com/en/14w/p/n/42","Sco")</f>
        <v>Sco</v>
      </c>
      <c t="str" s="30" r="H505">
        <f>HYPERLINK("http://sofifa.com/en/14w/p/148702-barry-bannan","B. Bannan")</f>
        <v>B. Bannan</v>
      </c>
      <c s="21" r="I505">
        <v>71</v>
      </c>
      <c t="s" s="21" r="J505">
        <v>81</v>
      </c>
      <c t="s" s="21" r="K505">
        <v>106</v>
      </c>
      <c s="21" r="L505">
        <v>23</v>
      </c>
      <c s="42" r="M505">
        <v>2.3</v>
      </c>
      <c s="42" r="N505">
        <v>0.007</v>
      </c>
      <c s="42" r="O505"/>
      <c s="42" r="P505">
        <f>IF((O505&gt;0),N505,0)</f>
        <v>0</v>
      </c>
      <c s="42" r="Q505"/>
    </row>
    <row r="506">
      <c t="s" s="42" r="A506">
        <v>49</v>
      </c>
      <c s="42" r="B506">
        <v>505</v>
      </c>
      <c s="21" r="C506">
        <v>16</v>
      </c>
      <c t="s" s="21" r="D506">
        <v>87</v>
      </c>
      <c t="s" s="42" r="E506">
        <v>50</v>
      </c>
      <c t="s" s="42" r="F506">
        <v>50</v>
      </c>
      <c t="str" s="30" r="G506">
        <f>HYPERLINK("http://sofifa.com/en/14w/p/n/14","Eng")</f>
        <v>Eng</v>
      </c>
      <c t="str" s="30" r="H506">
        <f>HYPERLINK("http://sofifa.com/en/14w/p/149025-dwight-gayle","D. Gayle")</f>
        <v>D. Gayle</v>
      </c>
      <c s="21" r="I506">
        <v>69</v>
      </c>
      <c t="s" s="21" r="J506">
        <v>90</v>
      </c>
      <c t="s" s="21" r="K506">
        <v>86</v>
      </c>
      <c s="21" r="L506">
        <v>22</v>
      </c>
      <c s="42" r="M506">
        <v>2.2</v>
      </c>
      <c s="42" r="N506">
        <v>0.006</v>
      </c>
      <c s="42" r="O506"/>
      <c s="42" r="P506">
        <f>IF((O506&gt;0),N506,0)</f>
        <v>0</v>
      </c>
      <c s="42" r="Q506"/>
    </row>
    <row r="507">
      <c t="s" s="42" r="A507">
        <v>49</v>
      </c>
      <c s="42" r="B507">
        <v>506</v>
      </c>
      <c s="21" r="C507">
        <v>29</v>
      </c>
      <c t="s" s="21" r="D507">
        <v>90</v>
      </c>
      <c t="s" s="42" r="E507">
        <v>50</v>
      </c>
      <c t="s" s="42" r="F507">
        <v>50</v>
      </c>
      <c t="str" s="30" r="G507">
        <f>HYPERLINK("http://sofifa.com/en/14w/p/n/129","Mor")</f>
        <v>Mor</v>
      </c>
      <c t="str" s="30" r="H507">
        <f>HYPERLINK("http://sofifa.com/en/14w/p/146550-marouane-chamakh","M. Chamakh")</f>
        <v>M. Chamakh</v>
      </c>
      <c s="21" r="I507">
        <v>75</v>
      </c>
      <c t="s" s="21" r="J507">
        <v>90</v>
      </c>
      <c t="s" s="21" r="K507">
        <v>99</v>
      </c>
      <c s="21" r="L507">
        <v>29</v>
      </c>
      <c s="42" r="M507">
        <v>4.5</v>
      </c>
      <c s="42" r="N507">
        <v>0.014</v>
      </c>
      <c s="42" r="O507"/>
      <c s="42" r="P507">
        <f>IF((O507&gt;0),N507,0)</f>
        <v>0</v>
      </c>
      <c s="42" r="Q507"/>
    </row>
    <row r="508">
      <c t="s" s="42" r="A508">
        <v>49</v>
      </c>
      <c s="42" r="B508">
        <v>507</v>
      </c>
      <c s="21" r="C508">
        <v>31</v>
      </c>
      <c t="s" s="21" r="D508">
        <v>92</v>
      </c>
      <c t="s" s="42" r="E508">
        <v>50</v>
      </c>
      <c t="s" s="42" r="F508">
        <v>50</v>
      </c>
      <c t="str" s="30" r="G508">
        <f>HYPERLINK("http://sofifa.com/en/14w/p/n/97","Alg")</f>
        <v>Alg</v>
      </c>
      <c t="str" s="30" r="H508">
        <f>HYPERLINK("http://sofifa.com/en/14w/p/147222-adlene-guedioura","A. Guédioura")</f>
        <v>A. Guédioura</v>
      </c>
      <c s="21" r="I508">
        <v>71</v>
      </c>
      <c t="s" s="21" r="J508">
        <v>81</v>
      </c>
      <c t="s" s="21" r="K508">
        <v>82</v>
      </c>
      <c s="21" r="L508">
        <v>27</v>
      </c>
      <c s="42" r="M508">
        <v>2.1</v>
      </c>
      <c s="42" r="N508">
        <v>0.008</v>
      </c>
      <c s="42" r="O508"/>
      <c s="42" r="P508">
        <f>IF((O508&gt;0),N508,0)</f>
        <v>0</v>
      </c>
      <c s="42" r="Q508"/>
    </row>
    <row r="509">
      <c t="s" s="42" r="A509">
        <v>49</v>
      </c>
      <c s="42" r="B509">
        <v>508</v>
      </c>
      <c s="21" r="C509">
        <v>6</v>
      </c>
      <c t="s" s="21" r="D509">
        <v>92</v>
      </c>
      <c t="s" s="42" r="E509">
        <v>50</v>
      </c>
      <c t="s" s="42" r="F509">
        <v>50</v>
      </c>
      <c t="str" s="30" r="G509">
        <f>HYPERLINK("http://sofifa.com/en/14w/p/n/45","Spa")</f>
        <v>Spa</v>
      </c>
      <c t="str" s="30" r="H509">
        <f>HYPERLINK("http://sofifa.com/en/14w/p/149979-jose-gomez-campana","Campaña")</f>
        <v>Campaña</v>
      </c>
      <c s="21" r="I509">
        <v>71</v>
      </c>
      <c t="s" s="21" r="J509">
        <v>81</v>
      </c>
      <c t="s" s="21" r="K509">
        <v>82</v>
      </c>
      <c s="21" r="L509">
        <v>20</v>
      </c>
      <c s="42" r="M509">
        <v>2.5</v>
      </c>
      <c s="42" r="N509">
        <v>0.007</v>
      </c>
      <c s="42" r="O509"/>
      <c s="42" r="P509">
        <f>IF((O509&gt;0),N509,0)</f>
        <v>0</v>
      </c>
      <c s="42" r="Q509"/>
    </row>
    <row r="510">
      <c t="s" s="42" r="A510">
        <v>49</v>
      </c>
      <c s="42" r="B510">
        <v>509</v>
      </c>
      <c s="21" r="C510">
        <v>20</v>
      </c>
      <c t="s" s="21" r="D510">
        <v>92</v>
      </c>
      <c t="s" s="42" r="E510">
        <v>50</v>
      </c>
      <c t="s" s="42" r="F510">
        <v>50</v>
      </c>
      <c t="str" s="30" r="G510">
        <f>HYPERLINK("http://sofifa.com/en/14w/p/n/50","Wal")</f>
        <v>Wal</v>
      </c>
      <c t="str" s="30" r="H510">
        <f>HYPERLINK("http://sofifa.com/en/14w/p/150110-jonathan-williams","J. Williams")</f>
        <v>J. Williams</v>
      </c>
      <c s="21" r="I510">
        <v>70</v>
      </c>
      <c t="s" s="21" r="J510">
        <v>88</v>
      </c>
      <c t="s" s="21" r="K510">
        <v>93</v>
      </c>
      <c s="21" r="L510">
        <v>19</v>
      </c>
      <c s="42" r="M510">
        <v>2.4</v>
      </c>
      <c s="42" r="N510">
        <v>0.005</v>
      </c>
      <c s="42" r="O510"/>
      <c s="42" r="P510">
        <f>IF((O510&gt;0),N510,0)</f>
        <v>0</v>
      </c>
      <c s="42" r="Q510"/>
    </row>
    <row r="511">
      <c t="s" s="42" r="A511">
        <v>49</v>
      </c>
      <c s="42" r="B511">
        <v>510</v>
      </c>
      <c s="21" r="C511">
        <v>7</v>
      </c>
      <c t="s" s="21" r="D511">
        <v>92</v>
      </c>
      <c t="s" s="42" r="E511">
        <v>50</v>
      </c>
      <c t="s" s="42" r="F511">
        <v>50</v>
      </c>
      <c t="str" s="30" r="G511">
        <f>HYPERLINK("http://sofifa.com/en/14w/p/n/110","DR ")</f>
        <v>DR </v>
      </c>
      <c t="str" s="30" r="H511">
        <f>HYPERLINK("http://sofifa.com/en/14w/p/148511-yannick-bolasie","Y. Bolasie")</f>
        <v>Y. Bolasie</v>
      </c>
      <c s="21" r="I511">
        <v>72</v>
      </c>
      <c t="s" s="21" r="J511">
        <v>96</v>
      </c>
      <c t="s" s="21" r="K511">
        <v>73</v>
      </c>
      <c s="21" r="L511">
        <v>24</v>
      </c>
      <c s="42" r="M511">
        <v>2.9</v>
      </c>
      <c s="42" r="N511">
        <v>0.009</v>
      </c>
      <c s="42" r="O511"/>
      <c s="42" r="P511">
        <f>IF((O511&gt;0),N511,0)</f>
        <v>0</v>
      </c>
      <c s="42" r="Q511"/>
    </row>
    <row r="512">
      <c t="s" s="42" r="A512">
        <v>49</v>
      </c>
      <c s="42" r="B512">
        <v>511</v>
      </c>
      <c s="21" r="C512">
        <v>12</v>
      </c>
      <c t="s" s="21" r="D512">
        <v>92</v>
      </c>
      <c t="s" s="42" r="E512">
        <v>50</v>
      </c>
      <c t="s" s="42" r="F512">
        <v>50</v>
      </c>
      <c t="str" s="30" r="G512">
        <f>HYPERLINK("http://sofifa.com/en/14w/p/n/14","Eng")</f>
        <v>Eng</v>
      </c>
      <c t="str" s="30" r="H512">
        <f>HYPERLINK("http://sofifa.com/en/14w/p/149160-stuart-okeefe","S. O'Keefe")</f>
        <v>S. O'Keefe</v>
      </c>
      <c s="21" r="I512">
        <v>65</v>
      </c>
      <c t="s" s="21" r="J512">
        <v>81</v>
      </c>
      <c t="s" s="21" r="K512">
        <v>86</v>
      </c>
      <c s="21" r="L512">
        <v>22</v>
      </c>
      <c s="42" r="M512">
        <v>1</v>
      </c>
      <c s="42" r="N512">
        <v>0.004</v>
      </c>
      <c s="42" r="O512"/>
      <c s="42" r="P512">
        <f>IF((O512&gt;0),N512,0)</f>
        <v>0</v>
      </c>
      <c s="42" r="Q512"/>
    </row>
    <row r="513">
      <c t="s" s="42" r="A513">
        <v>49</v>
      </c>
      <c s="42" r="B513">
        <v>512</v>
      </c>
      <c s="21" r="C513">
        <v>17</v>
      </c>
      <c t="s" s="21" r="D513">
        <v>92</v>
      </c>
      <c t="s" s="42" r="E513">
        <v>50</v>
      </c>
      <c t="s" s="42" r="F513">
        <v>50</v>
      </c>
      <c t="str" s="30" r="G513">
        <f>HYPERLINK("http://sofifa.com/en/14w/p/n/14","Eng")</f>
        <v>Eng</v>
      </c>
      <c t="str" s="30" r="H513">
        <f>HYPERLINK("http://sofifa.com/en/14w/p/146443-glenn-murray","G. Murray")</f>
        <v>G. Murray</v>
      </c>
      <c s="21" r="I513">
        <v>71</v>
      </c>
      <c t="s" s="21" r="J513">
        <v>90</v>
      </c>
      <c t="s" s="21" r="K513">
        <v>73</v>
      </c>
      <c s="21" r="L513">
        <v>29</v>
      </c>
      <c s="42" r="M513">
        <v>2.4</v>
      </c>
      <c s="42" r="N513">
        <v>0.008</v>
      </c>
      <c s="42" r="O513"/>
      <c s="42" r="P513">
        <f>IF((O513&gt;0),N513,0)</f>
        <v>0</v>
      </c>
      <c s="42" r="Q513"/>
    </row>
    <row r="514">
      <c t="s" s="42" r="A514">
        <v>49</v>
      </c>
      <c s="42" r="B514">
        <v>513</v>
      </c>
      <c s="21" r="C514">
        <v>4</v>
      </c>
      <c t="s" s="21" r="D514">
        <v>92</v>
      </c>
      <c t="s" s="42" r="E514">
        <v>50</v>
      </c>
      <c t="s" s="42" r="F514">
        <v>50</v>
      </c>
      <c t="str" s="30" r="G514">
        <f>HYPERLINK("http://sofifa.com/en/14w/p/n/36","Nor")</f>
        <v>Nor</v>
      </c>
      <c t="str" s="30" r="H514">
        <f>HYPERLINK("http://sofifa.com/en/14w/p/148296-jonathan-parr","J. Parr")</f>
        <v>J. Parr</v>
      </c>
      <c s="21" r="I514">
        <v>69</v>
      </c>
      <c t="s" s="21" r="J514">
        <v>78</v>
      </c>
      <c t="s" s="21" r="K514">
        <v>89</v>
      </c>
      <c s="21" r="L514">
        <v>24</v>
      </c>
      <c s="42" r="M514">
        <v>1.7</v>
      </c>
      <c s="42" r="N514">
        <v>0.007</v>
      </c>
      <c s="42" r="O514"/>
      <c s="42" r="P514">
        <f>IF((O514&gt;0),N514,0)</f>
        <v>0</v>
      </c>
      <c s="42" r="Q514"/>
    </row>
    <row r="515">
      <c t="s" s="42" r="A515">
        <v>49</v>
      </c>
      <c s="42" r="B515">
        <v>514</v>
      </c>
      <c s="21" r="C515">
        <v>9</v>
      </c>
      <c t="s" s="21" r="D515">
        <v>92</v>
      </c>
      <c t="s" s="42" r="E515">
        <v>54</v>
      </c>
      <c t="s" s="42" r="F515">
        <v>50</v>
      </c>
      <c t="str" s="30" r="G515">
        <f>HYPERLINK("http://sofifa.com/en/14w/p/n/14","Eng")</f>
        <v>Eng</v>
      </c>
      <c t="str" s="30" r="H515">
        <f>HYPERLINK("http://sofifa.com/en/14w/p/142729-kevin-phillips","K. Phillips")</f>
        <v>K. Phillips</v>
      </c>
      <c s="21" r="I515">
        <v>68</v>
      </c>
      <c t="s" s="21" r="J515">
        <v>90</v>
      </c>
      <c t="s" s="21" r="K515">
        <v>106</v>
      </c>
      <c s="21" r="L515">
        <v>39</v>
      </c>
      <c s="42" r="M515">
        <v>0.7</v>
      </c>
      <c s="42" r="N515">
        <v>0.008</v>
      </c>
      <c s="42" r="O515">
        <v>0.7</v>
      </c>
      <c s="42" r="P515">
        <f>IF((O515&gt;0),N515,0)</f>
        <v>0.008</v>
      </c>
      <c s="42" r="Q515"/>
    </row>
    <row r="516">
      <c t="s" s="42" r="A516">
        <v>49</v>
      </c>
      <c s="42" r="B516">
        <v>515</v>
      </c>
      <c s="21" r="C516">
        <v>34</v>
      </c>
      <c t="s" s="21" r="D516">
        <v>92</v>
      </c>
      <c t="s" s="42" r="E516">
        <v>50</v>
      </c>
      <c t="s" s="42" r="F516">
        <v>50</v>
      </c>
      <c t="str" s="30" r="G516">
        <f>HYPERLINK("http://sofifa.com/en/14w/p/n/50","Wal")</f>
        <v>Wal</v>
      </c>
      <c t="str" s="30" r="H516">
        <f>HYPERLINK("http://sofifa.com/en/14w/p/146741-lewis-price","L. Price")</f>
        <v>L. Price</v>
      </c>
      <c s="21" r="I516">
        <v>64</v>
      </c>
      <c t="s" s="21" r="J516">
        <v>70</v>
      </c>
      <c t="s" s="21" r="K516">
        <v>95</v>
      </c>
      <c s="21" r="L516">
        <v>28</v>
      </c>
      <c s="42" r="M516">
        <v>0.7</v>
      </c>
      <c s="42" r="N516">
        <v>0.005</v>
      </c>
      <c s="42" r="O516"/>
      <c s="42" r="P516">
        <f>IF((O516&gt;0),N516,0)</f>
        <v>0</v>
      </c>
      <c s="42" r="Q516"/>
    </row>
    <row r="517">
      <c t="s" s="42" r="A517">
        <v>49</v>
      </c>
      <c s="42" r="B517">
        <v>516</v>
      </c>
      <c s="21" r="C517">
        <v>13</v>
      </c>
      <c t="s" s="21" r="D517">
        <v>92</v>
      </c>
      <c t="s" s="42" r="E517">
        <v>50</v>
      </c>
      <c t="s" s="42" r="F517">
        <v>50</v>
      </c>
      <c t="str" s="30" r="G517">
        <f>HYPERLINK("http://sofifa.com/en/14w/p/n/14","Eng")</f>
        <v>Eng</v>
      </c>
      <c t="str" s="30" r="H517">
        <f>HYPERLINK("http://sofifa.com/en/14w/p/147448-jason-puncheon","J. Puncheon")</f>
        <v>J. Puncheon</v>
      </c>
      <c s="21" r="I517">
        <v>73</v>
      </c>
      <c t="s" s="21" r="J517">
        <v>84</v>
      </c>
      <c t="s" s="21" r="K517">
        <v>86</v>
      </c>
      <c s="21" r="L517">
        <v>27</v>
      </c>
      <c s="42" r="M517">
        <v>3</v>
      </c>
      <c s="42" r="N517">
        <v>0.01</v>
      </c>
      <c s="42" r="O517"/>
      <c s="42" r="P517">
        <f>IF((O517&gt;0),N517,0)</f>
        <v>0</v>
      </c>
      <c s="42" r="Q517"/>
    </row>
    <row r="518">
      <c t="s" s="42" r="A518">
        <v>49</v>
      </c>
      <c s="42" r="B518">
        <v>517</v>
      </c>
      <c s="21" r="C518">
        <v>14</v>
      </c>
      <c t="s" s="21" r="D518">
        <v>92</v>
      </c>
      <c t="s" s="42" r="E518">
        <v>50</v>
      </c>
      <c t="s" s="42" r="F518">
        <v>50</v>
      </c>
      <c t="str" s="30" r="G518">
        <f>HYPERLINK("http://sofifa.com/en/14w/p/n/14","Eng")</f>
        <v>Eng</v>
      </c>
      <c t="str" s="30" r="H518">
        <f>HYPERLINK("http://sofifa.com/en/14w/p/146257-jerome-thomas","J. Thomas")</f>
        <v>J. Thomas</v>
      </c>
      <c s="21" r="I518">
        <v>73</v>
      </c>
      <c t="s" s="21" r="J518">
        <v>87</v>
      </c>
      <c t="s" s="21" r="K518">
        <v>82</v>
      </c>
      <c s="21" r="L518">
        <v>30</v>
      </c>
      <c s="42" r="M518">
        <v>2.6</v>
      </c>
      <c s="42" r="N518">
        <v>0.011</v>
      </c>
      <c s="42" r="O518"/>
      <c s="42" r="P518">
        <f>IF((O518&gt;0),N518,0)</f>
        <v>0</v>
      </c>
      <c s="42" r="Q518"/>
    </row>
    <row r="519">
      <c t="s" s="42" r="A519">
        <v>49</v>
      </c>
      <c s="42" r="B519">
        <v>518</v>
      </c>
      <c s="21" r="C519">
        <v>30</v>
      </c>
      <c t="s" s="21" r="D519">
        <v>92</v>
      </c>
      <c t="s" s="42" r="E519">
        <v>50</v>
      </c>
      <c t="s" s="42" r="F519">
        <v>50</v>
      </c>
      <c t="str" s="30" r="G519">
        <f>HYPERLINK("http://sofifa.com/en/14w/p/n/14","Eng")</f>
        <v>Eng</v>
      </c>
      <c t="str" s="30" r="H519">
        <f>HYPERLINK("http://sofifa.com/en/14w/p/147558-cameron-jerome","C. Jerome")</f>
        <v>C. Jerome</v>
      </c>
      <c s="21" r="I519">
        <v>73</v>
      </c>
      <c t="s" s="21" r="J519">
        <v>90</v>
      </c>
      <c t="s" s="21" r="K519">
        <v>73</v>
      </c>
      <c s="21" r="L519">
        <v>26</v>
      </c>
      <c s="42" r="M519">
        <v>3.5</v>
      </c>
      <c s="42" r="N519">
        <v>0.01</v>
      </c>
      <c s="42" r="O519"/>
      <c s="42" r="P519">
        <f>IF((O519&gt;0),N519,0)</f>
        <v>0</v>
      </c>
      <c s="42" r="Q519"/>
    </row>
    <row r="520">
      <c t="s" s="42" r="A520">
        <v>49</v>
      </c>
      <c s="42" r="B520">
        <v>519</v>
      </c>
      <c s="21" r="C520">
        <v>27</v>
      </c>
      <c t="s" s="21" r="D520">
        <v>97</v>
      </c>
      <c t="s" s="42" r="E520">
        <v>50</v>
      </c>
      <c t="s" s="42" r="F520">
        <v>50</v>
      </c>
      <c t="str" s="30" r="G520">
        <f>HYPERLINK("http://sofifa.com/en/14w/p/n/25","Rep")</f>
        <v>Rep</v>
      </c>
      <c t="str" s="30" r="H520">
        <f>HYPERLINK("http://sofifa.com/en/14w/p/145646-damien-delaney","D. Delaney")</f>
        <v>D. Delaney</v>
      </c>
      <c s="21" r="I520">
        <v>70</v>
      </c>
      <c t="s" s="21" r="J520">
        <v>75</v>
      </c>
      <c t="s" s="21" r="K520">
        <v>95</v>
      </c>
      <c s="21" r="L520">
        <v>31</v>
      </c>
      <c s="42" r="M520">
        <v>1.4</v>
      </c>
      <c s="42" r="N520">
        <v>0.008</v>
      </c>
      <c s="42" r="O520"/>
      <c s="42" r="P520">
        <f>IF((O520&gt;0),N520,0)</f>
        <v>0</v>
      </c>
      <c s="42" r="Q520"/>
    </row>
    <row r="521">
      <c t="s" s="42" r="A521">
        <v>49</v>
      </c>
      <c s="42" r="B521">
        <v>520</v>
      </c>
      <c s="21" r="C521">
        <v>49</v>
      </c>
      <c t="s" s="21" r="D521">
        <v>97</v>
      </c>
      <c t="s" s="42" r="E521">
        <v>50</v>
      </c>
      <c t="s" s="42" r="F521">
        <v>50</v>
      </c>
      <c t="str" s="30" r="G521">
        <f>HYPERLINK("http://sofifa.com/en/14w/p/n/50","Wal")</f>
        <v>Wal</v>
      </c>
      <c t="str" s="30" r="H521">
        <f>HYPERLINK("http://sofifa.com/en/14w/p/148349-darcy-blake","D. Blake")</f>
        <v>D. Blake</v>
      </c>
      <c s="21" r="I521">
        <v>66</v>
      </c>
      <c t="s" s="21" r="J521">
        <v>75</v>
      </c>
      <c t="s" s="21" r="K521">
        <v>89</v>
      </c>
      <c s="21" r="L521">
        <v>24</v>
      </c>
      <c s="42" r="M521">
        <v>1.2</v>
      </c>
      <c s="42" r="N521">
        <v>0.005</v>
      </c>
      <c s="42" r="O521"/>
      <c s="42" r="P521">
        <f>IF((O521&gt;0),N521,0)</f>
        <v>0</v>
      </c>
      <c s="42" r="Q521"/>
    </row>
    <row r="522">
      <c t="s" s="42" r="A522">
        <v>49</v>
      </c>
      <c s="42" r="B522">
        <v>521</v>
      </c>
      <c s="21" r="C522">
        <v>25</v>
      </c>
      <c t="s" s="21" r="D522">
        <v>97</v>
      </c>
      <c t="s" s="42" r="E522">
        <v>50</v>
      </c>
      <c t="s" s="42" r="F522">
        <v>50</v>
      </c>
      <c t="str" s="30" r="G522">
        <f>HYPERLINK("http://sofifa.com/en/14w/p/n/42","Sco")</f>
        <v>Sco</v>
      </c>
      <c t="str" s="30" r="H522">
        <f>HYPERLINK("http://sofifa.com/en/14w/p/144418-neil-alexander","N. Alexander")</f>
        <v>N. Alexander</v>
      </c>
      <c s="21" r="I522">
        <v>66</v>
      </c>
      <c t="s" s="21" r="J522">
        <v>70</v>
      </c>
      <c t="s" s="21" r="K522">
        <v>73</v>
      </c>
      <c s="21" r="L522">
        <v>35</v>
      </c>
      <c s="42" r="M522">
        <v>0.6</v>
      </c>
      <c s="42" r="N522">
        <v>0.007</v>
      </c>
      <c s="42" r="O522"/>
      <c s="42" r="P522">
        <f>IF((O522&gt;0),N522,0)</f>
        <v>0</v>
      </c>
      <c s="42" r="Q522"/>
    </row>
    <row r="523">
      <c t="s" s="42" r="A523">
        <v>49</v>
      </c>
      <c s="42" r="B523">
        <v>522</v>
      </c>
      <c s="21" r="C523">
        <v>35</v>
      </c>
      <c t="s" s="21" r="D523">
        <v>97</v>
      </c>
      <c t="s" s="42" r="E523">
        <v>50</v>
      </c>
      <c t="s" s="42" r="F523">
        <v>50</v>
      </c>
      <c t="str" s="30" r="G523">
        <f>HYPERLINK("http://sofifa.com/en/14w/p/n/14","Eng")</f>
        <v>Eng</v>
      </c>
      <c t="str" s="30" r="H523">
        <f>HYPERLINK("http://sofifa.com/en/14w/p/150161-kyle-de-silva","K. De Silva")</f>
        <v>K. De Silva</v>
      </c>
      <c s="21" r="I523">
        <v>62</v>
      </c>
      <c t="s" s="21" r="J523">
        <v>88</v>
      </c>
      <c t="s" s="21" r="K523">
        <v>82</v>
      </c>
      <c s="21" r="L523">
        <v>19</v>
      </c>
      <c s="42" r="M523">
        <v>0.9</v>
      </c>
      <c s="42" r="N523">
        <v>0.003</v>
      </c>
      <c s="42" r="O523"/>
      <c s="42" r="P523">
        <f>IF((O523&gt;0),N523,0)</f>
        <v>0</v>
      </c>
      <c s="42" r="Q523"/>
    </row>
    <row r="524">
      <c t="s" s="42" r="A524">
        <v>49</v>
      </c>
      <c s="42" r="B524">
        <v>523</v>
      </c>
      <c s="21" r="C524">
        <v>22</v>
      </c>
      <c t="s" s="21" r="D524">
        <v>97</v>
      </c>
      <c t="s" s="42" r="E524">
        <v>50</v>
      </c>
      <c t="s" s="42" r="F524">
        <v>50</v>
      </c>
      <c t="str" s="30" r="G524">
        <f>HYPERLINK("http://sofifa.com/en/14w/p/n/14","Eng")</f>
        <v>Eng</v>
      </c>
      <c t="str" s="30" r="H524">
        <f>HYPERLINK("http://sofifa.com/en/14w/p/149072-jack-hunt","J. Hunt")</f>
        <v>J. Hunt</v>
      </c>
      <c s="21" r="I524">
        <v>67</v>
      </c>
      <c t="s" s="21" r="J524">
        <v>72</v>
      </c>
      <c t="s" s="21" r="K524">
        <v>94</v>
      </c>
      <c s="21" r="L524">
        <v>22</v>
      </c>
      <c s="42" r="M524">
        <v>1.4</v>
      </c>
      <c s="42" r="N524">
        <v>0.005</v>
      </c>
      <c s="42" r="O524"/>
      <c s="42" r="P524">
        <f>IF((O524&gt;0),N524,0)</f>
        <v>0</v>
      </c>
      <c s="42" r="Q524"/>
    </row>
    <row r="525">
      <c t="s" s="42" r="A525">
        <v>49</v>
      </c>
      <c s="42" r="B525">
        <v>524</v>
      </c>
      <c s="21" r="C525">
        <v>24</v>
      </c>
      <c t="s" s="21" r="D525">
        <v>97</v>
      </c>
      <c t="s" s="42" r="E525">
        <v>50</v>
      </c>
      <c t="s" s="42" r="F525">
        <v>50</v>
      </c>
      <c t="str" s="30" r="G525">
        <f>HYPERLINK("http://sofifa.com/en/14w/p/n/18","Fra")</f>
        <v>Fra</v>
      </c>
      <c t="str" s="30" r="H525">
        <f>HYPERLINK("http://sofifa.com/en/14w/p/147926-elliot-grandin","E. Grandin")</f>
        <v>E. Grandin</v>
      </c>
      <c s="21" r="I525">
        <v>66</v>
      </c>
      <c t="s" s="21" r="J525">
        <v>88</v>
      </c>
      <c t="s" s="21" r="K525">
        <v>82</v>
      </c>
      <c s="21" r="L525">
        <v>25</v>
      </c>
      <c s="42" r="M525">
        <v>1.3</v>
      </c>
      <c s="42" r="N525">
        <v>0.005</v>
      </c>
      <c s="42" r="O525"/>
      <c s="42" r="P525">
        <f>IF((O525&gt;0),N525,0)</f>
        <v>0</v>
      </c>
      <c s="42" r="Q525"/>
    </row>
    <row r="526">
      <c t="s" s="42" r="A526">
        <v>49</v>
      </c>
      <c s="42" r="B526">
        <v>525</v>
      </c>
      <c s="21" r="C526">
        <v>5</v>
      </c>
      <c t="s" s="21" r="D526">
        <v>97</v>
      </c>
      <c t="s" s="42" r="E526">
        <v>50</v>
      </c>
      <c t="s" s="42" r="F526">
        <v>50</v>
      </c>
      <c t="str" s="30" r="G526">
        <f>HYPERLINK("http://sofifa.com/en/14w/p/n/25","Rep")</f>
        <v>Rep</v>
      </c>
      <c t="str" s="30" r="H526">
        <f>HYPERLINK("http://sofifa.com/en/14w/p/146326-patrick-mccarthy","P. McCarthy")</f>
        <v>P. McCarthy</v>
      </c>
      <c s="21" r="I526">
        <v>67</v>
      </c>
      <c t="s" s="21" r="J526">
        <v>75</v>
      </c>
      <c t="s" s="21" r="K526">
        <v>73</v>
      </c>
      <c s="21" r="L526">
        <v>30</v>
      </c>
      <c s="42" r="M526">
        <v>1.1</v>
      </c>
      <c s="42" r="N526">
        <v>0.006</v>
      </c>
      <c s="42" r="O526"/>
      <c s="42" r="P526">
        <f>IF((O526&gt;0),N526,0)</f>
        <v>0</v>
      </c>
      <c s="42" r="Q526"/>
    </row>
    <row r="527">
      <c t="s" s="42" r="A527">
        <v>49</v>
      </c>
      <c s="42" r="B527">
        <v>526</v>
      </c>
      <c s="21" r="C527">
        <v>23</v>
      </c>
      <c t="s" s="21" r="D527">
        <v>97</v>
      </c>
      <c t="s" s="42" r="E527">
        <v>50</v>
      </c>
      <c t="s" s="42" r="F527">
        <v>50</v>
      </c>
      <c t="str" s="30" r="G527">
        <f>HYPERLINK("http://sofifa.com/en/14w/p/n/18","Fra")</f>
        <v>Fra</v>
      </c>
      <c t="str" s="30" r="H527">
        <f>HYPERLINK("http://sofifa.com/en/14w/p/147333-florian-marange","F. Marange")</f>
        <v>F. Marange</v>
      </c>
      <c s="21" r="I527">
        <v>68</v>
      </c>
      <c t="s" s="21" r="J527">
        <v>78</v>
      </c>
      <c t="s" s="21" r="K527">
        <v>79</v>
      </c>
      <c s="21" r="L527">
        <v>27</v>
      </c>
      <c s="42" r="M527">
        <v>1.4</v>
      </c>
      <c s="42" r="N527">
        <v>0.006</v>
      </c>
      <c s="42" r="O527"/>
      <c s="42" r="P527">
        <f>IF((O527&gt;0),N527,0)</f>
        <v>0</v>
      </c>
      <c s="42" r="Q527"/>
    </row>
    <row r="528">
      <c t="s" s="42" r="A528">
        <v>49</v>
      </c>
      <c s="42" r="B528">
        <v>527</v>
      </c>
      <c s="21" r="C528">
        <v>10</v>
      </c>
      <c t="s" s="21" r="D528">
        <v>97</v>
      </c>
      <c t="s" s="42" r="E528">
        <v>50</v>
      </c>
      <c t="s" s="42" r="F528">
        <v>50</v>
      </c>
      <c t="str" s="30" r="G528">
        <f>HYPERLINK("http://sofifa.com/en/14w/p/n/25","Rep")</f>
        <v>Rep</v>
      </c>
      <c t="str" s="30" r="H528">
        <f>HYPERLINK("http://sofifa.com/en/14w/p/148030-owen-garvan","O. Garvan")</f>
        <v>O. Garvan</v>
      </c>
      <c s="21" r="I528">
        <v>68</v>
      </c>
      <c t="s" s="21" r="J528">
        <v>88</v>
      </c>
      <c t="s" s="21" r="K528">
        <v>89</v>
      </c>
      <c s="21" r="L528">
        <v>25</v>
      </c>
      <c s="42" r="M528">
        <v>1.8</v>
      </c>
      <c s="42" r="N528">
        <v>0.006</v>
      </c>
      <c s="42" r="O528"/>
      <c s="42" r="P528">
        <f>IF((O528&gt;0),N528,0)</f>
        <v>0</v>
      </c>
      <c s="42" r="Q528"/>
    </row>
    <row r="529">
      <c t="s" s="42" r="A529">
        <v>49</v>
      </c>
      <c s="42" r="B529">
        <v>528</v>
      </c>
      <c s="21" r="C529">
        <v>18</v>
      </c>
      <c t="s" s="21" r="D529">
        <v>97</v>
      </c>
      <c t="s" s="42" r="E529">
        <v>50</v>
      </c>
      <c t="s" s="42" r="F529">
        <v>50</v>
      </c>
      <c t="str" s="30" r="G529">
        <f>HYPERLINK("http://sofifa.com/en/14w/p/n/14","Eng")</f>
        <v>Eng</v>
      </c>
      <c t="str" s="30" r="H529">
        <f>HYPERLINK("http://sofifa.com/en/14w/p/145008-aaron-wilbraham","A. Wilbraham")</f>
        <v>A. Wilbraham</v>
      </c>
      <c s="21" r="I529">
        <v>63</v>
      </c>
      <c t="s" s="21" r="J529">
        <v>90</v>
      </c>
      <c t="s" s="21" r="K529">
        <v>95</v>
      </c>
      <c s="21" r="L529">
        <v>33</v>
      </c>
      <c s="42" r="M529">
        <v>0.6</v>
      </c>
      <c s="42" r="N529">
        <v>0.005</v>
      </c>
      <c s="42" r="O529"/>
      <c s="42" r="P529">
        <f>IF((O529&gt;0),N529,0)</f>
        <v>0</v>
      </c>
      <c s="42" r="Q529"/>
    </row>
    <row r="530">
      <c t="s" s="42" r="A530">
        <v>39</v>
      </c>
      <c s="42" r="B530">
        <v>529</v>
      </c>
      <c s="21" r="C530">
        <v>1</v>
      </c>
      <c t="s" s="21" r="D530">
        <v>70</v>
      </c>
      <c t="s" s="42" r="E530">
        <v>40</v>
      </c>
      <c t="s" s="42" r="F530">
        <v>40</v>
      </c>
      <c t="str" s="30" r="G530">
        <f>HYPERLINK("http://sofifa.com/en/14w/p/n/8","Bos")</f>
        <v>Bos</v>
      </c>
      <c t="str" s="30" r="H530">
        <f>HYPERLINK("http://sofifa.com/en/14w/p/147807-asmir-begovic","A. Begović")</f>
        <v>A. Begović</v>
      </c>
      <c s="21" r="I530">
        <v>81</v>
      </c>
      <c t="s" s="21" r="J530">
        <v>70</v>
      </c>
      <c t="s" s="21" r="K530">
        <v>111</v>
      </c>
      <c s="21" r="L530">
        <v>26</v>
      </c>
      <c s="42" r="M530">
        <v>9.5</v>
      </c>
      <c s="42" r="N530">
        <v>0.04</v>
      </c>
      <c s="42" r="O530"/>
      <c s="42" r="P530">
        <f>IF((O530&gt;0),N530,0)</f>
        <v>0</v>
      </c>
      <c s="42" r="Q530"/>
    </row>
    <row r="531">
      <c t="s" s="42" r="A531">
        <v>39</v>
      </c>
      <c s="42" r="B531">
        <v>530</v>
      </c>
      <c s="21" r="C531">
        <v>20</v>
      </c>
      <c t="s" s="21" r="D531">
        <v>72</v>
      </c>
      <c t="s" s="42" r="E531">
        <v>40</v>
      </c>
      <c t="s" s="42" r="F531">
        <v>40</v>
      </c>
      <c t="str" s="30" r="G531">
        <f>HYPERLINK("http://sofifa.com/en/14w/p/n/95","Uni")</f>
        <v>Uni</v>
      </c>
      <c t="str" s="30" r="H531">
        <f>HYPERLINK("http://sofifa.com/en/14w/p/147088-geoff-cameron","G. Cameron")</f>
        <v>G. Cameron</v>
      </c>
      <c s="21" r="I531">
        <v>72</v>
      </c>
      <c t="s" s="21" r="J531">
        <v>72</v>
      </c>
      <c t="s" s="21" r="K531">
        <v>95</v>
      </c>
      <c s="21" r="L531">
        <v>27</v>
      </c>
      <c s="42" r="M531">
        <v>2.4</v>
      </c>
      <c s="42" r="N531">
        <v>0.009</v>
      </c>
      <c s="42" r="O531"/>
      <c s="42" r="P531">
        <f>IF((O531&gt;0),N531,0)</f>
        <v>0</v>
      </c>
      <c s="42" r="Q531"/>
    </row>
    <row r="532">
      <c t="s" s="42" r="A532">
        <v>39</v>
      </c>
      <c s="42" r="B532">
        <v>531</v>
      </c>
      <c s="21" r="C532">
        <v>17</v>
      </c>
      <c t="s" s="21" r="D532">
        <v>74</v>
      </c>
      <c t="s" s="42" r="E532">
        <v>40</v>
      </c>
      <c t="s" s="42" r="F532">
        <v>40</v>
      </c>
      <c t="str" s="30" r="G532">
        <f>HYPERLINK("http://sofifa.com/en/14w/p/n/14","Eng")</f>
        <v>Eng</v>
      </c>
      <c t="str" s="30" r="H532">
        <f>HYPERLINK("http://sofifa.com/en/14w/p/147913-ryan-shawcross","R. Shawcross")</f>
        <v>R. Shawcross</v>
      </c>
      <c s="21" r="I532">
        <v>77</v>
      </c>
      <c t="s" s="21" r="J532">
        <v>75</v>
      </c>
      <c t="s" s="21" r="K532">
        <v>95</v>
      </c>
      <c s="21" r="L532">
        <v>25</v>
      </c>
      <c s="42" r="M532">
        <v>5.7</v>
      </c>
      <c s="42" r="N532">
        <v>0.017</v>
      </c>
      <c s="42" r="O532"/>
      <c s="42" r="P532">
        <f>IF((O532&gt;0),N532,0)</f>
        <v>0</v>
      </c>
      <c s="42" r="Q532"/>
    </row>
    <row r="533">
      <c t="s" s="42" r="A533">
        <v>39</v>
      </c>
      <c s="42" r="B533">
        <v>532</v>
      </c>
      <c s="21" r="C533">
        <v>4</v>
      </c>
      <c t="s" s="21" r="D533">
        <v>77</v>
      </c>
      <c t="s" s="42" r="E533">
        <v>40</v>
      </c>
      <c t="s" s="42" r="F533">
        <v>40</v>
      </c>
      <c t="str" s="30" r="G533">
        <f>HYPERLINK("http://sofifa.com/en/14w/p/n/21","Ger")</f>
        <v>Ger</v>
      </c>
      <c t="str" s="30" r="H533">
        <f>HYPERLINK("http://sofifa.com/en/14w/p/146771-robert-huth","R. Huth")</f>
        <v>R. Huth</v>
      </c>
      <c s="21" r="I533">
        <v>77</v>
      </c>
      <c t="s" s="21" r="J533">
        <v>75</v>
      </c>
      <c t="s" s="21" r="K533">
        <v>95</v>
      </c>
      <c s="21" r="L533">
        <v>28</v>
      </c>
      <c s="42" r="M533">
        <v>5.7</v>
      </c>
      <c s="42" r="N533">
        <v>0.017</v>
      </c>
      <c s="42" r="O533"/>
      <c s="42" r="P533">
        <f>IF((O533&gt;0),N533,0)</f>
        <v>0</v>
      </c>
      <c s="42" r="Q533"/>
    </row>
    <row r="534">
      <c t="s" s="42" r="A534">
        <v>39</v>
      </c>
      <c s="42" r="B534">
        <v>533</v>
      </c>
      <c s="21" r="C534">
        <v>3</v>
      </c>
      <c t="s" s="21" r="D534">
        <v>78</v>
      </c>
      <c t="s" s="42" r="E534">
        <v>40</v>
      </c>
      <c t="s" s="42" r="F534">
        <v>40</v>
      </c>
      <c t="str" s="30" r="G534">
        <f>HYPERLINK("http://sofifa.com/en/14w/p/n/34","Net")</f>
        <v>Net</v>
      </c>
      <c t="str" s="30" r="H534">
        <f>HYPERLINK("http://sofifa.com/en/14w/p/148221-erik-pieters","E. Pieters")</f>
        <v>E. Pieters</v>
      </c>
      <c s="21" r="I534">
        <v>72</v>
      </c>
      <c t="s" s="21" r="J534">
        <v>78</v>
      </c>
      <c t="s" s="21" r="K534">
        <v>89</v>
      </c>
      <c s="21" r="L534">
        <v>24</v>
      </c>
      <c s="42" r="M534">
        <v>2.5</v>
      </c>
      <c s="42" r="N534">
        <v>0.009</v>
      </c>
      <c s="42" r="O534"/>
      <c s="42" r="P534">
        <f>IF((O534&gt;0),N534,0)</f>
        <v>0</v>
      </c>
      <c s="42" r="Q534"/>
    </row>
    <row r="535">
      <c t="s" s="42" r="A535">
        <v>39</v>
      </c>
      <c s="42" r="B535">
        <v>534</v>
      </c>
      <c s="21" r="C535">
        <v>12</v>
      </c>
      <c t="s" s="21" r="D535">
        <v>98</v>
      </c>
      <c t="s" s="42" r="E535">
        <v>40</v>
      </c>
      <c t="s" s="42" r="F535">
        <v>40</v>
      </c>
      <c t="str" s="30" r="G535">
        <f>HYPERLINK("http://sofifa.com/en/14w/p/n/25","Rep")</f>
        <v>Rep</v>
      </c>
      <c t="str" s="30" r="H535">
        <f>HYPERLINK("http://sofifa.com/en/14w/p/147865-marc-wilson","M. Wilson")</f>
        <v>M. Wilson</v>
      </c>
      <c s="21" r="I535">
        <v>74</v>
      </c>
      <c t="s" s="21" r="J535">
        <v>98</v>
      </c>
      <c t="s" s="21" r="K535">
        <v>99</v>
      </c>
      <c s="21" r="L535">
        <v>25</v>
      </c>
      <c s="42" r="M535">
        <v>3.2</v>
      </c>
      <c s="42" r="N535">
        <v>0.011</v>
      </c>
      <c s="42" r="O535"/>
      <c s="42" r="P535">
        <f>IF((O535&gt;0),N535,0)</f>
        <v>0</v>
      </c>
      <c s="42" r="Q535"/>
    </row>
    <row r="536">
      <c t="s" s="42" r="A536">
        <v>39</v>
      </c>
      <c s="42" r="B536">
        <v>535</v>
      </c>
      <c s="21" r="C536">
        <v>19</v>
      </c>
      <c t="s" s="21" r="D536">
        <v>84</v>
      </c>
      <c t="s" s="42" r="E536">
        <v>40</v>
      </c>
      <c t="s" s="42" r="F536">
        <v>40</v>
      </c>
      <c t="str" s="30" r="G536">
        <f>HYPERLINK("http://sofifa.com/en/14w/p/n/25","Rep")</f>
        <v>Rep</v>
      </c>
      <c t="str" s="30" r="H536">
        <f>HYPERLINK("http://sofifa.com/en/14w/p/146438-jonathan-walters","J. Walters")</f>
        <v>J. Walters</v>
      </c>
      <c s="21" r="I536">
        <v>72</v>
      </c>
      <c t="s" s="21" r="J536">
        <v>108</v>
      </c>
      <c t="s" s="21" r="K536">
        <v>89</v>
      </c>
      <c s="21" r="L536">
        <v>29</v>
      </c>
      <c s="42" r="M536">
        <v>2.8</v>
      </c>
      <c s="42" r="N536">
        <v>0.009</v>
      </c>
      <c s="42" r="O536"/>
      <c s="42" r="P536">
        <f>IF((O536&gt;0),N536,0)</f>
        <v>0</v>
      </c>
      <c s="42" r="Q536"/>
    </row>
    <row r="537">
      <c t="s" s="42" r="A537">
        <v>39</v>
      </c>
      <c s="42" r="B537">
        <v>536</v>
      </c>
      <c s="21" r="C537">
        <v>15</v>
      </c>
      <c t="s" s="21" r="D537">
        <v>102</v>
      </c>
      <c t="s" s="42" r="E537">
        <v>40</v>
      </c>
      <c t="s" s="42" r="F537">
        <v>40</v>
      </c>
      <c t="str" s="30" r="G537">
        <f>HYPERLINK("http://sofifa.com/en/14w/p/n/18","Fra")</f>
        <v>Fra</v>
      </c>
      <c t="str" s="30" r="H537">
        <f>HYPERLINK("http://sofifa.com/en/14w/p/148351-steven-nzonzi","S. N'Zonzi")</f>
        <v>S. N'Zonzi</v>
      </c>
      <c s="21" r="I537">
        <v>78</v>
      </c>
      <c t="s" s="21" r="J537">
        <v>98</v>
      </c>
      <c t="s" s="21" r="K537">
        <v>95</v>
      </c>
      <c s="21" r="L537">
        <v>24</v>
      </c>
      <c s="42" r="M537">
        <v>6.2</v>
      </c>
      <c s="42" r="N537">
        <v>0.019</v>
      </c>
      <c s="42" r="O537"/>
      <c s="42" r="P537">
        <f>IF((O537&gt;0),N537,0)</f>
        <v>0</v>
      </c>
      <c s="42" r="Q537"/>
    </row>
    <row r="538">
      <c t="s" s="42" r="A538">
        <v>39</v>
      </c>
      <c s="42" r="B538">
        <v>537</v>
      </c>
      <c s="21" r="C538">
        <v>16</v>
      </c>
      <c t="s" s="21" r="D538">
        <v>103</v>
      </c>
      <c t="s" s="42" r="E538">
        <v>40</v>
      </c>
      <c t="s" s="42" r="F538">
        <v>40</v>
      </c>
      <c t="str" s="30" r="G538">
        <f>HYPERLINK("http://sofifa.com/en/14w/p/n/42","Sco")</f>
        <v>Sco</v>
      </c>
      <c t="str" s="30" r="H538">
        <f>HYPERLINK("http://sofifa.com/en/14w/p/147250-charlie-adam","C. Adam")</f>
        <v>C. Adam</v>
      </c>
      <c s="21" r="I538">
        <v>74</v>
      </c>
      <c t="s" s="21" r="J538">
        <v>81</v>
      </c>
      <c t="s" s="21" r="K538">
        <v>73</v>
      </c>
      <c s="21" r="L538">
        <v>27</v>
      </c>
      <c s="42" r="M538">
        <v>3.2</v>
      </c>
      <c s="42" r="N538">
        <v>0.011</v>
      </c>
      <c s="42" r="O538"/>
      <c s="42" r="P538">
        <f>IF((O538&gt;0),N538,0)</f>
        <v>0</v>
      </c>
      <c s="42" r="Q538"/>
    </row>
    <row r="539">
      <c t="s" s="42" r="A539">
        <v>39</v>
      </c>
      <c s="42" r="B539">
        <v>538</v>
      </c>
      <c s="21" r="C539">
        <v>10</v>
      </c>
      <c t="s" s="21" r="D539">
        <v>87</v>
      </c>
      <c t="s" s="42" r="E539">
        <v>40</v>
      </c>
      <c t="s" s="42" r="F539">
        <v>40</v>
      </c>
      <c t="str" s="30" r="G539">
        <f>HYPERLINK("http://sofifa.com/en/14w/p/n/4","Aus")</f>
        <v>Aus</v>
      </c>
      <c t="str" s="30" r="H539">
        <f>HYPERLINK("http://sofifa.com/en/14w/p/148476-marko-arnautovic","M. Arnautovic")</f>
        <v>M. Arnautovic</v>
      </c>
      <c s="21" r="I539">
        <v>76</v>
      </c>
      <c t="s" s="21" r="J539">
        <v>84</v>
      </c>
      <c t="s" s="21" r="K539">
        <v>91</v>
      </c>
      <c s="21" r="L539">
        <v>24</v>
      </c>
      <c s="42" r="M539">
        <v>5.2</v>
      </c>
      <c s="42" r="N539">
        <v>0.015</v>
      </c>
      <c s="42" r="O539"/>
      <c s="42" r="P539">
        <f>IF((O539&gt;0),N539,0)</f>
        <v>0</v>
      </c>
      <c s="42" r="Q539"/>
    </row>
    <row r="540">
      <c t="s" s="42" r="A540">
        <v>39</v>
      </c>
      <c s="42" r="B540">
        <v>539</v>
      </c>
      <c s="21" r="C540">
        <v>9</v>
      </c>
      <c t="s" s="21" r="D540">
        <v>90</v>
      </c>
      <c t="s" s="42" r="E540">
        <v>40</v>
      </c>
      <c t="s" s="42" r="F540">
        <v>40</v>
      </c>
      <c t="str" s="30" r="G540">
        <f>HYPERLINK("http://sofifa.com/en/14w/p/n/93","Tri")</f>
        <v>Tri</v>
      </c>
      <c t="str" s="30" r="H540">
        <f>HYPERLINK("http://sofifa.com/en/14w/p/146819-kenwyne-jones","K. Jones")</f>
        <v>K. Jones</v>
      </c>
      <c s="21" r="I540">
        <v>75</v>
      </c>
      <c t="s" s="21" r="J540">
        <v>90</v>
      </c>
      <c t="s" s="21" r="K540">
        <v>99</v>
      </c>
      <c s="21" r="L540">
        <v>28</v>
      </c>
      <c s="42" r="M540">
        <v>5</v>
      </c>
      <c s="42" r="N540">
        <v>0.013</v>
      </c>
      <c s="42" r="O540"/>
      <c s="42" r="P540">
        <f>IF((O540&gt;0),N540,0)</f>
        <v>0</v>
      </c>
      <c s="42" r="Q540"/>
    </row>
    <row r="541">
      <c t="s" s="42" r="A541">
        <v>39</v>
      </c>
      <c s="42" r="B541">
        <v>540</v>
      </c>
      <c s="21" r="C541">
        <v>11</v>
      </c>
      <c t="s" s="21" r="D541">
        <v>92</v>
      </c>
      <c t="s" s="42" r="E541">
        <v>40</v>
      </c>
      <c t="s" s="42" r="F541">
        <v>40</v>
      </c>
      <c t="str" s="30" r="G541">
        <f>HYPERLINK("http://sofifa.com/en/14w/p/n/95","Uni")</f>
        <v>Uni</v>
      </c>
      <c t="str" s="30" r="H541">
        <f>HYPERLINK("http://sofifa.com/en/14w/p/148791-brek-shea","B. Shea")</f>
        <v>B. Shea</v>
      </c>
      <c s="21" r="I541">
        <v>70</v>
      </c>
      <c t="s" s="21" r="J541">
        <v>87</v>
      </c>
      <c t="s" s="21" r="K541">
        <v>95</v>
      </c>
      <c s="21" r="L541">
        <v>23</v>
      </c>
      <c s="42" r="M541">
        <v>2</v>
      </c>
      <c s="42" r="N541">
        <v>0.006</v>
      </c>
      <c s="42" r="O541"/>
      <c s="42" r="P541">
        <f>IF((O541&gt;0),N541,0)</f>
        <v>0</v>
      </c>
      <c s="42" r="Q541"/>
    </row>
    <row r="542">
      <c t="s" s="42" r="A542">
        <v>39</v>
      </c>
      <c s="42" r="B542">
        <v>541</v>
      </c>
      <c s="21" r="C542">
        <v>24</v>
      </c>
      <c t="s" s="21" r="D542">
        <v>92</v>
      </c>
      <c t="s" s="42" r="E542">
        <v>40</v>
      </c>
      <c t="s" s="42" r="F542">
        <v>40</v>
      </c>
      <c t="str" s="30" r="G542">
        <f>HYPERLINK("http://sofifa.com/en/14w/p/n/129","Mor")</f>
        <v>Mor</v>
      </c>
      <c t="str" s="30" r="H542">
        <f>HYPERLINK("http://sofifa.com/en/14w/p/148229-oussama-assaidi","O. Assaidi")</f>
        <v>O. Assaidi</v>
      </c>
      <c s="21" r="I542">
        <v>76</v>
      </c>
      <c t="s" s="21" r="J542">
        <v>96</v>
      </c>
      <c t="s" s="21" r="K542">
        <v>82</v>
      </c>
      <c s="21" r="L542">
        <v>24</v>
      </c>
      <c s="42" r="M542">
        <v>6</v>
      </c>
      <c s="42" r="N542">
        <v>0.015</v>
      </c>
      <c s="42" r="O542"/>
      <c s="42" r="P542">
        <f>IF((O542&gt;0),N542,0)</f>
        <v>0</v>
      </c>
      <c s="42" r="Q542"/>
    </row>
    <row r="543">
      <c t="s" s="42" r="A543">
        <v>39</v>
      </c>
      <c s="42" r="B543">
        <v>542</v>
      </c>
      <c s="21" r="C543">
        <v>5</v>
      </c>
      <c t="s" s="21" r="D543">
        <v>92</v>
      </c>
      <c t="s" s="42" r="E543">
        <v>40</v>
      </c>
      <c t="s" s="42" r="F543">
        <v>40</v>
      </c>
      <c t="str" s="30" r="G543">
        <f>HYPERLINK("http://sofifa.com/en/14w/p/n/45","Spa")</f>
        <v>Spa</v>
      </c>
      <c t="str" s="30" r="H543">
        <f>HYPERLINK("http://sofifa.com/en/14w/p/149549-marc-muniesa-martinez","Muniesa")</f>
        <v>Muniesa</v>
      </c>
      <c s="21" r="I543">
        <v>68</v>
      </c>
      <c t="s" s="21" r="J543">
        <v>75</v>
      </c>
      <c t="s" s="21" r="K543">
        <v>82</v>
      </c>
      <c s="21" r="L543">
        <v>21</v>
      </c>
      <c s="42" r="M543">
        <v>1.7</v>
      </c>
      <c s="42" r="N543">
        <v>0.005</v>
      </c>
      <c s="42" r="O543"/>
      <c s="42" r="P543">
        <f>IF((O543&gt;0),N543,0)</f>
        <v>0</v>
      </c>
      <c s="42" r="Q543"/>
    </row>
    <row r="544">
      <c t="s" s="42" r="A544">
        <v>39</v>
      </c>
      <c s="42" r="B544">
        <v>543</v>
      </c>
      <c s="21" r="C544">
        <v>13</v>
      </c>
      <c t="s" s="21" r="D544">
        <v>92</v>
      </c>
      <c t="s" s="42" r="E544">
        <v>40</v>
      </c>
      <c t="s" s="42" r="F544">
        <v>40</v>
      </c>
      <c t="str" s="30" r="G544">
        <f>HYPERLINK("http://sofifa.com/en/14w/p/n/95","Uni")</f>
        <v>Uni</v>
      </c>
      <c t="str" s="30" r="H544">
        <f>HYPERLINK("http://sofifa.com/en/14w/p/147379-maurice-edu","M. Edu")</f>
        <v>M. Edu</v>
      </c>
      <c s="21" r="I544">
        <v>71</v>
      </c>
      <c t="s" s="21" r="J544">
        <v>98</v>
      </c>
      <c t="s" s="21" r="K544">
        <v>89</v>
      </c>
      <c s="21" r="L544">
        <v>27</v>
      </c>
      <c s="42" r="M544">
        <v>2</v>
      </c>
      <c s="42" r="N544">
        <v>0.008</v>
      </c>
      <c s="42" r="O544"/>
      <c s="42" r="P544">
        <f>IF((O544&gt;0),N544,0)</f>
        <v>0</v>
      </c>
      <c s="42" r="Q544"/>
    </row>
    <row r="545">
      <c t="s" s="42" r="A545">
        <v>39</v>
      </c>
      <c s="42" r="B545">
        <v>544</v>
      </c>
      <c s="21" r="C545">
        <v>26</v>
      </c>
      <c t="s" s="21" r="D545">
        <v>92</v>
      </c>
      <c t="s" s="42" r="E545">
        <v>40</v>
      </c>
      <c t="s" s="42" r="F545">
        <v>40</v>
      </c>
      <c t="str" s="30" r="G545">
        <f>HYPERLINK("http://sofifa.com/en/14w/p/n/14","Eng")</f>
        <v>Eng</v>
      </c>
      <c t="str" s="30" r="H545">
        <f>HYPERLINK("http://sofifa.com/en/14w/p/145671-matthew-etherington","M. Etherington")</f>
        <v>M. Etherington</v>
      </c>
      <c s="21" r="I545">
        <v>76</v>
      </c>
      <c t="s" s="21" r="J545">
        <v>87</v>
      </c>
      <c t="s" s="21" r="K545">
        <v>82</v>
      </c>
      <c s="21" r="L545">
        <v>31</v>
      </c>
      <c s="42" r="M545">
        <v>4.1</v>
      </c>
      <c s="42" r="N545">
        <v>0.017</v>
      </c>
      <c s="42" r="O545"/>
      <c s="42" r="P545">
        <f>IF((O545&gt;0),N545,0)</f>
        <v>0</v>
      </c>
      <c s="42" r="Q545"/>
    </row>
    <row r="546">
      <c t="s" s="42" r="A546">
        <v>39</v>
      </c>
      <c s="42" r="B546">
        <v>545</v>
      </c>
      <c s="21" r="C546">
        <v>8</v>
      </c>
      <c t="s" s="21" r="D546">
        <v>92</v>
      </c>
      <c t="s" s="42" r="E546">
        <v>40</v>
      </c>
      <c t="s" s="42" r="F546">
        <v>40</v>
      </c>
      <c t="str" s="30" r="G546">
        <f>HYPERLINK("http://sofifa.com/en/14w/p/n/81","Hon")</f>
        <v>Hon</v>
      </c>
      <c t="str" s="30" r="H546">
        <f>HYPERLINK("http://sofifa.com/en/14w/p/146751-wilson-palacios","W. Palacios")</f>
        <v>W. Palacios</v>
      </c>
      <c s="21" r="I546">
        <v>70</v>
      </c>
      <c t="s" s="21" r="J546">
        <v>98</v>
      </c>
      <c t="s" s="21" r="K546">
        <v>82</v>
      </c>
      <c s="21" r="L546">
        <v>28</v>
      </c>
      <c s="42" r="M546">
        <v>1.6</v>
      </c>
      <c s="42" r="N546">
        <v>0.007</v>
      </c>
      <c s="42" r="O546"/>
      <c s="42" r="P546">
        <f>IF((O546&gt;0),N546,0)</f>
        <v>0</v>
      </c>
      <c s="42" r="Q546"/>
    </row>
    <row r="547">
      <c t="s" s="42" r="A547">
        <v>39</v>
      </c>
      <c s="42" r="B547">
        <v>546</v>
      </c>
      <c s="21" r="C547">
        <v>25</v>
      </c>
      <c t="s" s="21" r="D547">
        <v>92</v>
      </c>
      <c t="s" s="42" r="E547">
        <v>40</v>
      </c>
      <c t="s" s="42" r="F547">
        <v>40</v>
      </c>
      <c t="str" s="30" r="G547">
        <f>HYPERLINK("http://sofifa.com/en/14w/p/n/14","Eng")</f>
        <v>Eng</v>
      </c>
      <c t="str" s="30" r="H547">
        <f>HYPERLINK("http://sofifa.com/en/14w/p/145475-peter-crouch","P. Crouch")</f>
        <v>P. Crouch</v>
      </c>
      <c s="21" r="I547">
        <v>77</v>
      </c>
      <c t="s" s="21" r="J547">
        <v>90</v>
      </c>
      <c t="s" s="21" r="K547">
        <v>111</v>
      </c>
      <c s="21" r="L547">
        <v>32</v>
      </c>
      <c s="42" r="M547">
        <v>5.5</v>
      </c>
      <c s="42" r="N547">
        <v>0.02</v>
      </c>
      <c s="42" r="O547"/>
      <c s="42" r="P547">
        <f>IF((O547&gt;0),N547,0)</f>
        <v>0</v>
      </c>
      <c s="42" r="Q547"/>
    </row>
    <row r="548">
      <c t="s" s="42" r="A548">
        <v>39</v>
      </c>
      <c s="42" r="B548">
        <v>547</v>
      </c>
      <c s="21" r="C548">
        <v>7</v>
      </c>
      <c t="s" s="21" r="D548">
        <v>92</v>
      </c>
      <c t="s" s="42" r="E548">
        <v>40</v>
      </c>
      <c t="s" s="42" r="F548">
        <v>40</v>
      </c>
      <c t="str" s="30" r="G548">
        <f>HYPERLINK("http://sofifa.com/en/14w/p/n/14","Eng")</f>
        <v>Eng</v>
      </c>
      <c t="str" s="30" r="H548">
        <f>HYPERLINK("http://sofifa.com/en/14w/p/146190-jermaine-pennant","J. Pennant")</f>
        <v>J. Pennant</v>
      </c>
      <c s="21" r="I548">
        <v>74</v>
      </c>
      <c t="s" s="21" r="J548">
        <v>84</v>
      </c>
      <c t="s" s="21" r="K548">
        <v>86</v>
      </c>
      <c s="21" r="L548">
        <v>30</v>
      </c>
      <c s="42" r="M548">
        <v>3</v>
      </c>
      <c s="42" r="N548">
        <v>0.012</v>
      </c>
      <c s="42" r="O548"/>
      <c s="42" r="P548">
        <f>IF((O548&gt;0),N548,0)</f>
        <v>0</v>
      </c>
      <c s="42" r="Q548"/>
    </row>
    <row r="549">
      <c t="s" s="42" r="A549">
        <v>39</v>
      </c>
      <c s="42" r="B549">
        <v>548</v>
      </c>
      <c s="21" r="C549">
        <v>29</v>
      </c>
      <c t="s" s="21" r="D549">
        <v>92</v>
      </c>
      <c t="s" s="42" r="E549">
        <v>40</v>
      </c>
      <c t="s" s="42" r="F549">
        <v>40</v>
      </c>
      <c t="str" s="30" r="G549">
        <f>HYPERLINK("http://sofifa.com/en/14w/p/n/13","Den")</f>
        <v>Den</v>
      </c>
      <c t="str" s="30" r="H549">
        <f>HYPERLINK("http://sofifa.com/en/14w/p/143782-thomas-sorensen","T. Sørensen")</f>
        <v>T. Sørensen</v>
      </c>
      <c s="21" r="I549">
        <v>73</v>
      </c>
      <c t="s" s="21" r="J549">
        <v>70</v>
      </c>
      <c t="s" s="21" r="K549">
        <v>71</v>
      </c>
      <c s="21" r="L549">
        <v>37</v>
      </c>
      <c s="42" r="M549">
        <v>1.2</v>
      </c>
      <c s="42" r="N549">
        <v>0.012</v>
      </c>
      <c s="42" r="O549"/>
      <c s="42" r="P549">
        <f>IF((O549&gt;0),N549,0)</f>
        <v>0</v>
      </c>
      <c s="42" r="Q549"/>
    </row>
    <row r="550">
      <c t="s" s="42" r="A550">
        <v>39</v>
      </c>
      <c s="42" r="B550">
        <v>549</v>
      </c>
      <c s="21" r="C550">
        <v>28</v>
      </c>
      <c t="s" s="21" r="D550">
        <v>92</v>
      </c>
      <c t="s" s="42" r="E550">
        <v>40</v>
      </c>
      <c t="s" s="42" r="F550">
        <v>40</v>
      </c>
      <c t="str" s="30" r="G550">
        <f>HYPERLINK("http://sofifa.com/en/14w/p/n/14","Eng")</f>
        <v>Eng</v>
      </c>
      <c t="str" s="30" r="H550">
        <f>HYPERLINK("http://sofifa.com/en/14w/p/146759-andy-wilkinson","A. Wilkinson")</f>
        <v>A. Wilkinson</v>
      </c>
      <c s="21" r="I550">
        <v>74</v>
      </c>
      <c t="s" s="21" r="J550">
        <v>72</v>
      </c>
      <c t="s" s="21" r="K550">
        <v>79</v>
      </c>
      <c s="21" r="L550">
        <v>28</v>
      </c>
      <c s="42" r="M550">
        <v>3</v>
      </c>
      <c s="42" r="N550">
        <v>0.011</v>
      </c>
      <c s="42" r="O550"/>
      <c s="42" r="P550">
        <f>IF((O550&gt;0),N550,0)</f>
        <v>0</v>
      </c>
      <c s="42" r="Q550"/>
    </row>
    <row r="551">
      <c t="s" s="42" r="A551">
        <v>39</v>
      </c>
      <c s="42" r="B551">
        <v>550</v>
      </c>
      <c s="21" r="C551">
        <v>6</v>
      </c>
      <c t="s" s="21" r="D551">
        <v>92</v>
      </c>
      <c t="s" s="42" r="E551">
        <v>40</v>
      </c>
      <c t="s" s="42" r="F551">
        <v>40</v>
      </c>
      <c t="str" s="30" r="G551">
        <f>HYPERLINK("http://sofifa.com/en/14w/p/n/25","Rep")</f>
        <v>Rep</v>
      </c>
      <c t="str" s="30" r="H551">
        <f>HYPERLINK("http://sofifa.com/en/14w/p/146553-glenn-whelan","G. Whelan")</f>
        <v>G. Whelan</v>
      </c>
      <c s="21" r="I551">
        <v>73</v>
      </c>
      <c t="s" s="21" r="J551">
        <v>81</v>
      </c>
      <c t="s" s="21" r="K551">
        <v>79</v>
      </c>
      <c s="21" r="L551">
        <v>29</v>
      </c>
      <c s="42" r="M551">
        <v>2.7</v>
      </c>
      <c s="42" r="N551">
        <v>0.011</v>
      </c>
      <c s="42" r="O551"/>
      <c s="42" r="P551">
        <f>IF((O551&gt;0),N551,0)</f>
        <v>0</v>
      </c>
      <c s="42" r="Q551"/>
    </row>
    <row r="552">
      <c t="s" s="42" r="A552">
        <v>39</v>
      </c>
      <c s="42" r="B552">
        <v>551</v>
      </c>
      <c s="21" r="C552">
        <v>32</v>
      </c>
      <c t="s" s="21" r="D552">
        <v>92</v>
      </c>
      <c t="s" s="42" r="E552">
        <v>40</v>
      </c>
      <c t="s" s="42" r="F552">
        <v>40</v>
      </c>
      <c t="str" s="30" r="G552">
        <f>HYPERLINK("http://sofifa.com/en/14w/p/n/25","Rep")</f>
        <v>Rep</v>
      </c>
      <c t="str" s="30" r="H552">
        <f>HYPERLINK("http://sofifa.com/en/14w/p/147505-stephen-ireland","S. Ireland")</f>
        <v>S. Ireland</v>
      </c>
      <c s="21" r="I552">
        <v>76</v>
      </c>
      <c t="s" s="21" r="J552">
        <v>88</v>
      </c>
      <c t="s" s="21" r="K552">
        <v>86</v>
      </c>
      <c s="21" r="L552">
        <v>26</v>
      </c>
      <c s="42" r="M552">
        <v>5.6</v>
      </c>
      <c s="42" r="N552">
        <v>0.015</v>
      </c>
      <c s="42" r="O552"/>
      <c s="42" r="P552">
        <f>IF((O552&gt;0),N552,0)</f>
        <v>0</v>
      </c>
      <c s="42" r="Q552"/>
    </row>
    <row r="553">
      <c t="s" s="42" r="A553">
        <v>39</v>
      </c>
      <c s="42" r="B553">
        <v>552</v>
      </c>
      <c s="21" r="C553">
        <v>34</v>
      </c>
      <c t="s" s="21" r="D553">
        <v>97</v>
      </c>
      <c t="s" s="42" r="E553">
        <v>40</v>
      </c>
      <c t="s" s="42" r="F553">
        <v>40</v>
      </c>
      <c t="str" s="30" r="G553">
        <f>HYPERLINK("http://sofifa.com/en/14w/p/n/14","Eng")</f>
        <v>Eng</v>
      </c>
      <c t="str" s="30" r="H553">
        <f>HYPERLINK("http://sofifa.com/en/14w/p/150090-jordan-keane","J. Keane")</f>
        <v>J. Keane</v>
      </c>
      <c s="21" r="I553">
        <v>55</v>
      </c>
      <c t="s" s="21" r="J553">
        <v>75</v>
      </c>
      <c t="s" s="21" r="K553">
        <v>95</v>
      </c>
      <c s="21" r="L553">
        <v>19</v>
      </c>
      <c s="42" r="M553">
        <v>0.1</v>
      </c>
      <c s="42" r="N553">
        <v>0.002</v>
      </c>
      <c s="42" r="O553"/>
      <c s="42" r="P553">
        <f>IF((O553&gt;0),N553,0)</f>
        <v>0</v>
      </c>
      <c s="42" r="Q553"/>
    </row>
    <row r="554">
      <c t="s" s="42" r="A554">
        <v>39</v>
      </c>
      <c s="42" r="B554">
        <v>553</v>
      </c>
      <c s="21" r="C554">
        <v>52</v>
      </c>
      <c t="s" s="21" r="D554">
        <v>97</v>
      </c>
      <c t="s" s="42" r="E554">
        <v>40</v>
      </c>
      <c t="s" s="42" r="F554">
        <v>40</v>
      </c>
      <c t="str" s="30" r="G554">
        <f>HYPERLINK("http://sofifa.com/en/14w/p/n/45","Spa")</f>
        <v>Spa</v>
      </c>
      <c t="str" s="30" r="H554">
        <f>HYPERLINK("http://sofifa.com/en/14w/p/150498-kevin-gomez-nieto","K. Gomez-Nieto")</f>
        <v>K. Gomez-Nieto</v>
      </c>
      <c s="21" r="I554">
        <v>60</v>
      </c>
      <c t="s" s="21" r="J554">
        <v>72</v>
      </c>
      <c t="s" s="21" r="K554">
        <v>73</v>
      </c>
      <c s="21" r="L554">
        <v>18</v>
      </c>
      <c s="42" r="M554">
        <v>0.5</v>
      </c>
      <c s="42" r="N554">
        <v>0.002</v>
      </c>
      <c s="42" r="O554"/>
      <c s="42" r="P554">
        <f>IF((O554&gt;0),N554,0)</f>
        <v>0</v>
      </c>
      <c s="42" r="Q554"/>
    </row>
    <row r="555">
      <c t="s" s="42" r="A555">
        <v>39</v>
      </c>
      <c s="42" r="B555">
        <v>554</v>
      </c>
      <c s="21" r="C555">
        <v>48</v>
      </c>
      <c t="s" s="21" r="D555">
        <v>97</v>
      </c>
      <c t="s" s="42" r="E555">
        <v>40</v>
      </c>
      <c t="s" s="42" r="F555">
        <v>40</v>
      </c>
      <c t="str" s="30" r="G555">
        <f>HYPERLINK("http://sofifa.com/en/14w/p/n/14","Eng")</f>
        <v>Eng</v>
      </c>
      <c t="str" s="30" r="H555">
        <f>HYPERLINK("http://sofifa.com/en/14w/p/150255-jordan-richardson","J. Richardson")</f>
        <v>J. Richardson</v>
      </c>
      <c s="21" r="I555">
        <v>60</v>
      </c>
      <c t="s" s="21" r="J555">
        <v>81</v>
      </c>
      <c t="s" s="21" r="K555">
        <v>89</v>
      </c>
      <c s="21" r="L555">
        <v>19</v>
      </c>
      <c s="42" r="M555">
        <v>0.5</v>
      </c>
      <c s="42" r="N555">
        <v>0.003</v>
      </c>
      <c s="42" r="O555"/>
      <c s="42" r="P555">
        <f>IF((O555&gt;0),N555,0)</f>
        <v>0</v>
      </c>
      <c s="42" r="Q555"/>
    </row>
    <row r="556">
      <c t="s" s="42" r="A556">
        <v>39</v>
      </c>
      <c s="42" r="B556">
        <v>555</v>
      </c>
      <c s="21" r="C556">
        <v>42</v>
      </c>
      <c t="s" s="21" r="D556">
        <v>97</v>
      </c>
      <c t="s" s="42" r="E556">
        <v>40</v>
      </c>
      <c t="s" s="42" r="F556">
        <v>40</v>
      </c>
      <c t="str" s="30" r="G556">
        <f>HYPERLINK("http://sofifa.com/en/14w/p/n/47","Swi")</f>
        <v>Swi</v>
      </c>
      <c t="str" s="30" r="H556">
        <f>HYPERLINK("http://sofifa.com/en/14w/p/150314-karim-rossi","K. Rossi")</f>
        <v>K. Rossi</v>
      </c>
      <c s="21" r="I556">
        <v>59</v>
      </c>
      <c t="s" s="21" r="J556">
        <v>90</v>
      </c>
      <c t="s" s="21" r="K556">
        <v>89</v>
      </c>
      <c s="21" r="L556">
        <v>19</v>
      </c>
      <c s="42" r="M556">
        <v>0.5</v>
      </c>
      <c s="42" r="N556">
        <v>0.002</v>
      </c>
      <c s="42" r="O556"/>
      <c s="42" r="P556">
        <f>IF((O556&gt;0),N556,0)</f>
        <v>0</v>
      </c>
      <c s="42" r="Q556"/>
    </row>
    <row r="557">
      <c t="s" s="42" r="A557">
        <v>39</v>
      </c>
      <c s="42" r="B557">
        <v>556</v>
      </c>
      <c s="21" r="C557">
        <v>43</v>
      </c>
      <c t="s" s="21" r="D557">
        <v>97</v>
      </c>
      <c t="s" s="42" r="E557">
        <v>40</v>
      </c>
      <c t="s" s="42" r="F557">
        <v>40</v>
      </c>
      <c t="str" s="30" r="G557">
        <f>HYPERLINK("http://sofifa.com/en/14w/p/n/4","Aus")</f>
        <v>Aus</v>
      </c>
      <c t="str" s="30" r="H557">
        <f>HYPERLINK("http://sofifa.com/en/14w/p/150383-daniel-bachmann","D. Bachmann")</f>
        <v>D. Bachmann</v>
      </c>
      <c s="21" r="I557">
        <v>60</v>
      </c>
      <c t="s" s="21" r="J557">
        <v>70</v>
      </c>
      <c t="s" s="21" r="K557">
        <v>95</v>
      </c>
      <c s="21" r="L557">
        <v>18</v>
      </c>
      <c s="42" r="M557">
        <v>0.5</v>
      </c>
      <c s="42" r="N557">
        <v>0.002</v>
      </c>
      <c s="42" r="O557"/>
      <c s="42" r="P557">
        <f>IF((O557&gt;0),N557,0)</f>
        <v>0</v>
      </c>
      <c s="42" r="Q557"/>
    </row>
    <row r="558">
      <c t="s" s="42" r="A558">
        <v>39</v>
      </c>
      <c s="42" r="B558">
        <v>557</v>
      </c>
      <c s="21" r="C558">
        <v>40</v>
      </c>
      <c t="s" s="21" r="D558">
        <v>97</v>
      </c>
      <c t="s" s="42" r="E558">
        <v>40</v>
      </c>
      <c t="s" s="42" r="F558">
        <v>40</v>
      </c>
      <c t="str" s="30" r="G558">
        <f>HYPERLINK("http://sofifa.com/en/14w/p/n/14","Eng")</f>
        <v>Eng</v>
      </c>
      <c t="str" s="30" r="H558">
        <f>HYPERLINK("http://sofifa.com/en/14w/p/150143-lucas-dawson","L. Dawson")</f>
        <v>L. Dawson</v>
      </c>
      <c s="21" r="I558">
        <v>58</v>
      </c>
      <c t="s" s="21" r="J558">
        <v>84</v>
      </c>
      <c t="s" s="21" r="K558">
        <v>73</v>
      </c>
      <c s="21" r="L558">
        <v>19</v>
      </c>
      <c s="42" r="M558">
        <v>0.3</v>
      </c>
      <c s="42" r="N558">
        <v>0.002</v>
      </c>
      <c s="42" r="O558"/>
      <c s="42" r="P558">
        <f>IF((O558&gt;0),N558,0)</f>
        <v>0</v>
      </c>
      <c s="42" r="Q558"/>
    </row>
    <row r="559">
      <c t="s" s="42" r="A559">
        <v>39</v>
      </c>
      <c s="42" r="B559">
        <v>558</v>
      </c>
      <c s="21" r="C559">
        <v>41</v>
      </c>
      <c t="s" s="21" r="D559">
        <v>97</v>
      </c>
      <c t="s" s="42" r="E559">
        <v>40</v>
      </c>
      <c t="s" s="42" r="F559">
        <v>40</v>
      </c>
      <c t="str" s="30" r="G559">
        <f>HYPERLINK("http://sofifa.com/en/14w/p/n/25","Rep")</f>
        <v>Rep</v>
      </c>
      <c t="str" s="30" r="H559">
        <f>HYPERLINK("http://sofifa.com/en/14w/p/150125-ben-glasgow","B. Glasgow")</f>
        <v>B. Glasgow</v>
      </c>
      <c s="21" r="I559">
        <v>54</v>
      </c>
      <c t="s" s="21" r="J559">
        <v>72</v>
      </c>
      <c t="s" s="21" r="K559">
        <v>82</v>
      </c>
      <c s="21" r="L559">
        <v>19</v>
      </c>
      <c s="42" r="M559">
        <v>0.1</v>
      </c>
      <c s="42" r="N559">
        <v>0.002</v>
      </c>
      <c s="42" r="O559"/>
      <c s="42" r="P559">
        <f>IF((O559&gt;0),N559,0)</f>
        <v>0</v>
      </c>
      <c s="42" r="Q559"/>
    </row>
    <row r="560">
      <c t="s" s="42" r="A560">
        <v>39</v>
      </c>
      <c s="42" r="B560">
        <v>559</v>
      </c>
      <c s="21" r="C560">
        <v>44</v>
      </c>
      <c t="s" s="21" r="D560">
        <v>97</v>
      </c>
      <c t="s" s="42" r="E560">
        <v>40</v>
      </c>
      <c t="s" s="42" r="F560">
        <v>40</v>
      </c>
      <c t="str" s="30" r="G560">
        <f>HYPERLINK("http://sofifa.com/en/14w/p/n/14","Eng")</f>
        <v>Eng</v>
      </c>
      <c t="str" s="30" r="H560">
        <f>HYPERLINK("http://sofifa.com/en/14w/p/150133-james-campbell","J. Campbell")</f>
        <v>J. Campbell</v>
      </c>
      <c s="21" r="I560">
        <v>54</v>
      </c>
      <c t="s" s="21" r="J560">
        <v>78</v>
      </c>
      <c t="s" s="21" r="K560">
        <v>82</v>
      </c>
      <c s="21" r="L560">
        <v>19</v>
      </c>
      <c s="42" r="M560">
        <v>0.1</v>
      </c>
      <c s="42" r="N560">
        <v>0.002</v>
      </c>
      <c s="42" r="O560"/>
      <c s="42" r="P560">
        <f>IF((O560&gt;0),N560,0)</f>
        <v>0</v>
      </c>
      <c s="42" r="Q560"/>
    </row>
    <row r="561">
      <c t="s" s="42" r="A561">
        <v>39</v>
      </c>
      <c s="42" r="B561">
        <v>560</v>
      </c>
      <c s="21" r="C561">
        <v>14</v>
      </c>
      <c t="s" s="21" r="D561">
        <v>97</v>
      </c>
      <c t="s" s="42" r="E561">
        <v>40</v>
      </c>
      <c t="s" s="42" r="F561">
        <v>40</v>
      </c>
      <c t="str" s="30" r="G561">
        <f>HYPERLINK("http://sofifa.com/en/14w/p/n/42","Sco")</f>
        <v>Sco</v>
      </c>
      <c t="str" s="30" r="H561">
        <f>HYPERLINK("http://sofifa.com/en/14w/p/149158-jamie-ness","J. Ness")</f>
        <v>J. Ness</v>
      </c>
      <c s="21" r="I561">
        <v>68</v>
      </c>
      <c t="s" s="21" r="J561">
        <v>81</v>
      </c>
      <c t="s" s="21" r="K561">
        <v>82</v>
      </c>
      <c s="21" r="L561">
        <v>22</v>
      </c>
      <c s="42" r="M561">
        <v>1.6</v>
      </c>
      <c s="42" r="N561">
        <v>0.006</v>
      </c>
      <c s="42" r="O561"/>
      <c s="42" r="P561">
        <f>IF((O561&gt;0),N561,0)</f>
        <v>0</v>
      </c>
      <c s="42" r="Q561"/>
    </row>
    <row r="562">
      <c t="s" s="42" r="A562">
        <v>39</v>
      </c>
      <c s="42" r="B562">
        <v>561</v>
      </c>
      <c s="21" r="C562">
        <v>50</v>
      </c>
      <c t="s" s="21" r="D562">
        <v>97</v>
      </c>
      <c t="s" s="42" r="E562">
        <v>40</v>
      </c>
      <c t="s" s="42" r="F562">
        <v>40</v>
      </c>
      <c t="str" s="30" r="G562">
        <f>HYPERLINK("http://sofifa.com/en/14w/p/n/14","Eng")</f>
        <v>Eng</v>
      </c>
      <c t="str" s="30" r="H562">
        <f>HYPERLINK("http://sofifa.com/en/14w/p/150228-sam-westley","S. Westley")</f>
        <v>S. Westley</v>
      </c>
      <c s="21" r="I562">
        <v>55</v>
      </c>
      <c t="s" s="21" r="J562">
        <v>75</v>
      </c>
      <c t="s" s="21" r="K562">
        <v>89</v>
      </c>
      <c s="21" r="L562">
        <v>19</v>
      </c>
      <c s="42" r="M562">
        <v>0.1</v>
      </c>
      <c s="42" r="N562">
        <v>0.002</v>
      </c>
      <c s="42" r="O562"/>
      <c s="42" r="P562">
        <f>IF((O562&gt;0),N562,0)</f>
        <v>0</v>
      </c>
      <c s="42" r="Q562"/>
    </row>
    <row r="563">
      <c t="s" s="42" r="A563">
        <v>53</v>
      </c>
      <c s="42" r="B563">
        <v>562</v>
      </c>
      <c s="21" r="C563">
        <v>1</v>
      </c>
      <c t="s" s="21" r="D563">
        <v>70</v>
      </c>
      <c t="s" s="42" r="E563">
        <v>54</v>
      </c>
      <c t="s" s="42" r="F563">
        <v>54</v>
      </c>
      <c t="str" s="30" r="G563">
        <f>HYPERLINK("http://sofifa.com/en/14w/p/n/42","Sco")</f>
        <v>Sco</v>
      </c>
      <c t="str" s="30" r="H563">
        <f>HYPERLINK("http://sofifa.com/en/14w/p/145841-allan-mcgregor","A. McGregor")</f>
        <v>A. McGregor</v>
      </c>
      <c s="21" r="I563">
        <v>74</v>
      </c>
      <c t="s" s="21" r="J563">
        <v>70</v>
      </c>
      <c t="s" s="21" r="K563">
        <v>89</v>
      </c>
      <c s="21" r="L563">
        <v>31</v>
      </c>
      <c s="42" r="M563">
        <v>2.2</v>
      </c>
      <c s="42" r="N563">
        <v>0.012</v>
      </c>
      <c s="42" r="O563"/>
      <c s="42" r="P563">
        <f>IF((O563&gt;0),N563,0)</f>
        <v>0</v>
      </c>
      <c s="42" r="Q563"/>
    </row>
    <row r="564">
      <c t="s" s="42" r="A564">
        <v>53</v>
      </c>
      <c s="42" r="B564">
        <v>563</v>
      </c>
      <c s="21" r="C564">
        <v>2</v>
      </c>
      <c t="s" s="21" r="D564">
        <v>72</v>
      </c>
      <c t="s" s="42" r="E564">
        <v>54</v>
      </c>
      <c t="s" s="42" r="F564">
        <v>54</v>
      </c>
      <c t="str" s="30" r="G564">
        <f>HYPERLINK("http://sofifa.com/en/14w/p/n/14","Eng")</f>
        <v>Eng</v>
      </c>
      <c t="str" s="30" r="H564">
        <f>HYPERLINK("http://sofifa.com/en/14w/p/146731-liam-rosenior","L. Rosenior")</f>
        <v>L. Rosenior</v>
      </c>
      <c s="21" r="I564">
        <v>67</v>
      </c>
      <c t="s" s="21" r="J564">
        <v>72</v>
      </c>
      <c t="s" s="21" r="K564">
        <v>82</v>
      </c>
      <c s="21" r="L564">
        <v>28</v>
      </c>
      <c s="42" r="M564">
        <v>1.2</v>
      </c>
      <c s="42" r="N564">
        <v>0.006</v>
      </c>
      <c s="42" r="O564"/>
      <c s="42" r="P564">
        <f>IF((O564&gt;0),N564,0)</f>
        <v>0</v>
      </c>
      <c s="42" r="Q564"/>
    </row>
    <row r="565">
      <c t="s" s="42" r="A565">
        <v>53</v>
      </c>
      <c s="42" r="B565">
        <v>564</v>
      </c>
      <c s="21" r="C565">
        <v>23</v>
      </c>
      <c t="s" s="21" r="D565">
        <v>74</v>
      </c>
      <c t="s" s="42" r="E565">
        <v>54</v>
      </c>
      <c t="s" s="42" r="F565">
        <v>54</v>
      </c>
      <c t="str" s="30" r="G565">
        <f>HYPERLINK("http://sofifa.com/en/14w/p/n/136","Sen")</f>
        <v>Sen</v>
      </c>
      <c t="str" s="30" r="H565">
        <f>HYPERLINK("http://sofifa.com/en/14w/p/144406-abdoulaye-faye","A. Faye")</f>
        <v>A. Faye</v>
      </c>
      <c s="21" r="I565">
        <v>68</v>
      </c>
      <c t="s" s="21" r="J565">
        <v>75</v>
      </c>
      <c t="s" s="21" r="K565">
        <v>99</v>
      </c>
      <c s="21" r="L565">
        <v>35</v>
      </c>
      <c s="42" r="M565">
        <v>0.9</v>
      </c>
      <c s="42" r="N565">
        <v>0.008</v>
      </c>
      <c s="42" r="O565"/>
      <c s="42" r="P565">
        <f>IF((O565&gt;0),N565,0)</f>
        <v>0</v>
      </c>
      <c s="42" r="Q565"/>
    </row>
    <row r="566">
      <c t="s" s="42" r="A566">
        <v>53</v>
      </c>
      <c s="42" r="B566">
        <v>565</v>
      </c>
      <c s="21" r="C566">
        <v>6</v>
      </c>
      <c t="s" s="21" r="D566">
        <v>77</v>
      </c>
      <c t="s" s="42" r="E566">
        <v>54</v>
      </c>
      <c t="s" s="42" r="F566">
        <v>54</v>
      </c>
      <c t="str" s="30" r="G566">
        <f>HYPERLINK("http://sofifa.com/en/14w/p/n/14","Eng")</f>
        <v>Eng</v>
      </c>
      <c t="str" s="30" r="H566">
        <f>HYPERLINK("http://sofifa.com/en/14w/p/146980-curtis-davies","C. Davies")</f>
        <v>C. Davies</v>
      </c>
      <c s="21" r="I566">
        <v>71</v>
      </c>
      <c t="s" s="21" r="J566">
        <v>75</v>
      </c>
      <c t="s" s="21" r="K566">
        <v>99</v>
      </c>
      <c s="21" r="L566">
        <v>28</v>
      </c>
      <c s="42" r="M566">
        <v>2.1</v>
      </c>
      <c s="42" r="N566">
        <v>0.008</v>
      </c>
      <c s="42" r="O566"/>
      <c s="42" r="P566">
        <f>IF((O566&gt;0),N566,0)</f>
        <v>0</v>
      </c>
      <c s="42" r="Q566"/>
    </row>
    <row r="567">
      <c t="s" s="42" r="A567">
        <v>53</v>
      </c>
      <c s="42" r="B567">
        <v>566</v>
      </c>
      <c s="21" r="C567">
        <v>3</v>
      </c>
      <c t="s" s="21" r="D567">
        <v>78</v>
      </c>
      <c t="s" s="42" r="E567">
        <v>54</v>
      </c>
      <c t="s" s="42" r="F567">
        <v>54</v>
      </c>
      <c t="str" s="30" r="G567">
        <f>HYPERLINK("http://sofifa.com/en/14w/p/n/81","Hon")</f>
        <v>Hon</v>
      </c>
      <c t="str" s="30" r="H567">
        <f>HYPERLINK("http://sofifa.com/en/14w/p/146297-maynor-figueroa","M. Figueroa")</f>
        <v>M. Figueroa</v>
      </c>
      <c s="21" r="I567">
        <v>75</v>
      </c>
      <c t="s" s="21" r="J567">
        <v>75</v>
      </c>
      <c t="s" s="21" r="K567">
        <v>79</v>
      </c>
      <c s="21" r="L567">
        <v>30</v>
      </c>
      <c s="42" r="M567">
        <v>3.5</v>
      </c>
      <c s="42" r="N567">
        <v>0.014</v>
      </c>
      <c s="42" r="O567"/>
      <c s="42" r="P567">
        <f>IF((O567&gt;0),N567,0)</f>
        <v>0</v>
      </c>
      <c s="42" r="Q567"/>
    </row>
    <row r="568">
      <c t="s" s="42" r="A568">
        <v>53</v>
      </c>
      <c s="42" r="B568">
        <v>567</v>
      </c>
      <c s="21" r="C568">
        <v>8</v>
      </c>
      <c t="s" s="21" r="D568">
        <v>80</v>
      </c>
      <c t="s" s="42" r="E568">
        <v>54</v>
      </c>
      <c t="s" s="42" r="F568">
        <v>54</v>
      </c>
      <c t="str" s="30" r="G568">
        <f>HYPERLINK("http://sofifa.com/en/14w/p/n/14","Eng")</f>
        <v>Eng</v>
      </c>
      <c t="str" s="30" r="H568">
        <f>HYPERLINK("http://sofifa.com/en/14w/p/147633-tom-huddlestone","T. Huddlestone")</f>
        <v>T. Huddlestone</v>
      </c>
      <c s="21" r="I568">
        <v>76</v>
      </c>
      <c t="s" s="21" r="J568">
        <v>81</v>
      </c>
      <c t="s" s="21" r="K568">
        <v>99</v>
      </c>
      <c s="21" r="L568">
        <v>26</v>
      </c>
      <c s="42" r="M568">
        <v>5.1</v>
      </c>
      <c s="42" r="N568">
        <v>0.015</v>
      </c>
      <c s="42" r="O568"/>
      <c s="42" r="P568">
        <f>IF((O568&gt;0),N568,0)</f>
        <v>0</v>
      </c>
      <c s="42" r="Q568"/>
    </row>
    <row r="569">
      <c t="s" s="42" r="A569">
        <v>53</v>
      </c>
      <c s="42" r="B569">
        <v>568</v>
      </c>
      <c s="21" r="C569">
        <v>14</v>
      </c>
      <c t="s" s="21" r="D569">
        <v>83</v>
      </c>
      <c t="s" s="42" r="E569">
        <v>54</v>
      </c>
      <c t="s" s="42" r="F569">
        <v>54</v>
      </c>
      <c t="str" s="30" r="G569">
        <f>HYPERLINK("http://sofifa.com/en/14w/p/n/14","Eng")</f>
        <v>Eng</v>
      </c>
      <c t="str" s="30" r="H569">
        <f>HYPERLINK("http://sofifa.com/en/14w/p/148685-jake-livermore","J. Livermore")</f>
        <v>J. Livermore</v>
      </c>
      <c s="21" r="I569">
        <v>74</v>
      </c>
      <c t="s" s="21" r="J569">
        <v>98</v>
      </c>
      <c t="s" s="21" r="K569">
        <v>79</v>
      </c>
      <c s="21" r="L569">
        <v>23</v>
      </c>
      <c s="42" r="M569">
        <v>3.3</v>
      </c>
      <c s="42" r="N569">
        <v>0.01</v>
      </c>
      <c s="42" r="O569"/>
      <c s="42" r="P569">
        <f>IF((O569&gt;0),N569,0)</f>
        <v>0</v>
      </c>
      <c s="42" r="Q569"/>
    </row>
    <row r="570">
      <c t="s" s="42" r="A570">
        <v>53</v>
      </c>
      <c s="42" r="B570">
        <v>569</v>
      </c>
      <c s="21" r="C570">
        <v>27</v>
      </c>
      <c t="s" s="21" r="D570">
        <v>84</v>
      </c>
      <c t="s" s="42" r="E570">
        <v>54</v>
      </c>
      <c t="s" s="42" r="F570">
        <v>54</v>
      </c>
      <c t="str" s="30" r="G570">
        <f>HYPERLINK("http://sofifa.com/en/14w/p/n/111","Egy")</f>
        <v>Egy</v>
      </c>
      <c t="str" s="30" r="H570">
        <f>HYPERLINK("http://sofifa.com/en/14w/p/147888-ahmed-elmohamady","A. Elmohamady")</f>
        <v>A. Elmohamady</v>
      </c>
      <c s="21" r="I570">
        <v>72</v>
      </c>
      <c t="s" s="21" r="J570">
        <v>84</v>
      </c>
      <c t="s" s="21" r="K570">
        <v>89</v>
      </c>
      <c s="21" r="L570">
        <v>25</v>
      </c>
      <c s="42" r="M570">
        <v>2.7</v>
      </c>
      <c s="42" r="N570">
        <v>0.009</v>
      </c>
      <c s="42" r="O570"/>
      <c s="42" r="P570">
        <f>IF((O570&gt;0),N570,0)</f>
        <v>0</v>
      </c>
      <c s="42" r="Q570"/>
    </row>
    <row r="571">
      <c t="s" s="42" r="A571">
        <v>53</v>
      </c>
      <c s="42" r="B571">
        <v>570</v>
      </c>
      <c s="21" r="C571">
        <v>29</v>
      </c>
      <c t="s" s="21" r="D571">
        <v>87</v>
      </c>
      <c t="s" s="42" r="E571">
        <v>54</v>
      </c>
      <c t="s" s="42" r="F571">
        <v>54</v>
      </c>
      <c t="str" s="30" r="G571">
        <f>HYPERLINK("http://sofifa.com/en/14w/p/n/25","Rep")</f>
        <v>Rep</v>
      </c>
      <c t="str" s="30" r="H571">
        <f>HYPERLINK("http://sofifa.com/en/14w/p/147362-stephen-quinn","S. Quinn")</f>
        <v>S. Quinn</v>
      </c>
      <c s="21" r="I571">
        <v>68</v>
      </c>
      <c t="s" s="21" r="J571">
        <v>81</v>
      </c>
      <c t="s" s="21" r="K571">
        <v>93</v>
      </c>
      <c s="21" r="L571">
        <v>27</v>
      </c>
      <c s="42" r="M571">
        <v>1.5</v>
      </c>
      <c s="42" r="N571">
        <v>0.006</v>
      </c>
      <c s="42" r="O571"/>
      <c s="42" r="P571">
        <f>IF((O571&gt;0),N571,0)</f>
        <v>0</v>
      </c>
      <c s="42" r="Q571"/>
    </row>
    <row r="572">
      <c t="s" s="42" r="A572">
        <v>53</v>
      </c>
      <c s="42" r="B572">
        <v>571</v>
      </c>
      <c s="21" r="C572">
        <v>24</v>
      </c>
      <c t="s" s="21" r="D572">
        <v>88</v>
      </c>
      <c t="s" s="42" r="E572">
        <v>54</v>
      </c>
      <c t="s" s="42" r="F572">
        <v>54</v>
      </c>
      <c t="str" s="30" r="G572">
        <f>HYPERLINK("http://sofifa.com/en/14w/p/n/133","Nig")</f>
        <v>Nig</v>
      </c>
      <c t="str" s="30" r="H572">
        <f>HYPERLINK("http://sofifa.com/en/14w/p/148417-sone-aluko","S. Aluko")</f>
        <v>S. Aluko</v>
      </c>
      <c s="21" r="I572">
        <v>72</v>
      </c>
      <c t="s" s="21" r="J572">
        <v>90</v>
      </c>
      <c t="s" s="21" r="K572">
        <v>86</v>
      </c>
      <c s="21" r="L572">
        <v>24</v>
      </c>
      <c s="42" r="M572">
        <v>3.2</v>
      </c>
      <c s="42" r="N572">
        <v>0.009</v>
      </c>
      <c s="42" r="O572"/>
      <c s="42" r="P572">
        <f>IF((O572&gt;0),N572,0)</f>
        <v>0</v>
      </c>
      <c s="42" r="Q572"/>
    </row>
    <row r="573">
      <c t="s" s="42" r="A573">
        <v>53</v>
      </c>
      <c s="42" r="B573">
        <v>572</v>
      </c>
      <c s="21" r="C573">
        <v>9</v>
      </c>
      <c t="s" s="21" r="D573">
        <v>90</v>
      </c>
      <c t="s" s="42" r="E573">
        <v>54</v>
      </c>
      <c t="s" s="42" r="F573">
        <v>54</v>
      </c>
      <c t="str" s="30" r="G573">
        <f>HYPERLINK("http://sofifa.com/en/14w/p/n/14","Eng")</f>
        <v>Eng</v>
      </c>
      <c t="str" s="30" r="H573">
        <f>HYPERLINK("http://sofifa.com/en/14w/p/147130-danny-graham","D. Graham")</f>
        <v>D. Graham</v>
      </c>
      <c s="21" r="I573">
        <v>73</v>
      </c>
      <c t="s" s="21" r="J573">
        <v>90</v>
      </c>
      <c t="s" s="21" r="K573">
        <v>89</v>
      </c>
      <c s="21" r="L573">
        <v>27</v>
      </c>
      <c s="42" r="M573">
        <v>3.5</v>
      </c>
      <c s="42" r="N573">
        <v>0.01</v>
      </c>
      <c s="42" r="O573"/>
      <c s="42" r="P573">
        <f>IF((O573&gt;0),N573,0)</f>
        <v>0</v>
      </c>
      <c s="42" r="Q573"/>
    </row>
    <row r="574">
      <c t="s" s="42" r="A574">
        <v>53</v>
      </c>
      <c s="42" r="B574">
        <v>573</v>
      </c>
      <c s="21" r="C574">
        <v>5</v>
      </c>
      <c t="s" s="21" r="D574">
        <v>92</v>
      </c>
      <c t="s" s="42" r="E574">
        <v>54</v>
      </c>
      <c t="s" s="42" r="F574">
        <v>54</v>
      </c>
      <c t="str" s="30" r="G574">
        <f>HYPERLINK("http://sofifa.com/en/14w/p/n/14","Eng")</f>
        <v>Eng</v>
      </c>
      <c t="str" s="30" r="H574">
        <f>HYPERLINK("http://sofifa.com/en/14w/p/148390-james-chester","J. Chester")</f>
        <v>J. Chester</v>
      </c>
      <c s="21" r="I574">
        <v>70</v>
      </c>
      <c t="s" s="21" r="J574">
        <v>75</v>
      </c>
      <c t="s" s="21" r="K574">
        <v>82</v>
      </c>
      <c s="21" r="L574">
        <v>24</v>
      </c>
      <c s="42" r="M574">
        <v>1.9</v>
      </c>
      <c s="42" r="N574">
        <v>0.007</v>
      </c>
      <c s="42" r="O574"/>
      <c s="42" r="P574">
        <f>IF((O574&gt;0),N574,0)</f>
        <v>0</v>
      </c>
      <c s="42" r="Q574"/>
    </row>
    <row r="575">
      <c t="s" s="42" r="A575">
        <v>53</v>
      </c>
      <c s="42" r="B575">
        <v>574</v>
      </c>
      <c s="21" r="C575">
        <v>11</v>
      </c>
      <c t="s" s="21" r="D575">
        <v>92</v>
      </c>
      <c t="s" s="42" r="E575">
        <v>54</v>
      </c>
      <c t="s" s="42" r="F575">
        <v>54</v>
      </c>
      <c t="str" s="30" r="G575">
        <f>HYPERLINK("http://sofifa.com/en/14w/p/n/25","Rep")</f>
        <v>Rep</v>
      </c>
      <c t="str" s="30" r="H575">
        <f>HYPERLINK("http://sofifa.com/en/14w/p/149476-robbie-brady","R. Brady")</f>
        <v>R. Brady</v>
      </c>
      <c s="21" r="I575">
        <v>72</v>
      </c>
      <c t="s" s="21" r="J575">
        <v>87</v>
      </c>
      <c t="s" s="21" r="K575">
        <v>94</v>
      </c>
      <c s="21" r="L575">
        <v>21</v>
      </c>
      <c s="42" r="M575">
        <v>3</v>
      </c>
      <c s="42" r="N575">
        <v>0.008</v>
      </c>
      <c s="42" r="O575"/>
      <c s="42" r="P575">
        <f>IF((O575&gt;0),N575,0)</f>
        <v>0</v>
      </c>
      <c s="42" r="Q575"/>
    </row>
    <row r="576">
      <c t="s" s="42" r="A576">
        <v>53</v>
      </c>
      <c s="42" r="B576">
        <v>575</v>
      </c>
      <c s="21" r="C576">
        <v>18</v>
      </c>
      <c t="s" s="21" r="D576">
        <v>92</v>
      </c>
      <c t="s" s="42" r="E576">
        <v>54</v>
      </c>
      <c t="s" s="42" r="F576">
        <v>54</v>
      </c>
      <c t="str" s="30" r="G576">
        <f>HYPERLINK("http://sofifa.com/en/14w/p/n/111","Egy")</f>
        <v>Egy</v>
      </c>
      <c t="str" s="30" r="H576">
        <f>HYPERLINK("http://sofifa.com/en/14w/p/146817-mohamed-nagy-ismail","Gedo")</f>
        <v>Gedo</v>
      </c>
      <c s="21" r="I576">
        <v>69</v>
      </c>
      <c t="s" s="21" r="J576">
        <v>90</v>
      </c>
      <c t="s" s="21" r="K576">
        <v>89</v>
      </c>
      <c s="21" r="L576">
        <v>28</v>
      </c>
      <c s="42" r="M576">
        <v>2</v>
      </c>
      <c s="42" r="N576">
        <v>0.007</v>
      </c>
      <c s="42" r="O576"/>
      <c s="42" r="P576">
        <f>IF((O576&gt;0),N576,0)</f>
        <v>0</v>
      </c>
      <c s="42" r="Q576"/>
    </row>
    <row r="577">
      <c t="s" s="42" r="A577">
        <v>53</v>
      </c>
      <c s="42" r="B577">
        <v>576</v>
      </c>
      <c s="21" r="C577">
        <v>7</v>
      </c>
      <c t="s" s="21" r="D577">
        <v>92</v>
      </c>
      <c t="s" s="42" r="E577">
        <v>54</v>
      </c>
      <c t="s" s="42" r="F577">
        <v>54</v>
      </c>
      <c t="str" s="30" r="G577">
        <f>HYPERLINK("http://sofifa.com/en/14w/p/n/25","Rep")</f>
        <v>Rep</v>
      </c>
      <c t="str" s="30" r="H577">
        <f>HYPERLINK("http://sofifa.com/en/14w/p/148516-david-meyler","D. Meyler")</f>
        <v>D. Meyler</v>
      </c>
      <c s="21" r="I577">
        <v>68</v>
      </c>
      <c t="s" s="21" r="J577">
        <v>81</v>
      </c>
      <c t="s" s="21" r="K577">
        <v>99</v>
      </c>
      <c s="21" r="L577">
        <v>24</v>
      </c>
      <c s="42" r="M577">
        <v>1.6</v>
      </c>
      <c s="42" r="N577">
        <v>0.006</v>
      </c>
      <c s="42" r="O577"/>
      <c s="42" r="P577">
        <f>IF((O577&gt;0),N577,0)</f>
        <v>0</v>
      </c>
      <c s="42" r="Q577"/>
    </row>
    <row r="578">
      <c t="s" s="42" r="A578">
        <v>53</v>
      </c>
      <c s="42" r="B578">
        <v>577</v>
      </c>
      <c s="21" r="C578">
        <v>20</v>
      </c>
      <c t="s" s="21" r="D578">
        <v>92</v>
      </c>
      <c t="s" s="42" r="E578">
        <v>54</v>
      </c>
      <c t="s" s="42" r="F578">
        <v>54</v>
      </c>
      <c t="str" s="30" r="G578">
        <f>HYPERLINK("http://sofifa.com/en/14w/p/n/108","Ivo")</f>
        <v>Ivo</v>
      </c>
      <c t="str" s="30" r="H578">
        <f>HYPERLINK("http://sofifa.com/en/14w/p/148104-yannick-sagbo","Y. Sagbo")</f>
        <v>Y. Sagbo</v>
      </c>
      <c s="21" r="I578">
        <v>73</v>
      </c>
      <c t="s" s="21" r="J578">
        <v>90</v>
      </c>
      <c t="s" s="21" r="K578">
        <v>82</v>
      </c>
      <c s="21" r="L578">
        <v>25</v>
      </c>
      <c s="42" r="M578">
        <v>3.6</v>
      </c>
      <c s="42" r="N578">
        <v>0.01</v>
      </c>
      <c s="42" r="O578"/>
      <c s="42" r="P578">
        <f>IF((O578&gt;0),N578,0)</f>
        <v>0</v>
      </c>
      <c s="42" r="Q578"/>
    </row>
    <row r="579">
      <c t="s" s="42" r="A579">
        <v>53</v>
      </c>
      <c s="42" r="B579">
        <v>578</v>
      </c>
      <c s="21" r="C579">
        <v>17</v>
      </c>
      <c t="s" s="21" r="D579">
        <v>92</v>
      </c>
      <c t="s" s="42" r="E579">
        <v>54</v>
      </c>
      <c t="s" s="42" r="F579">
        <v>54</v>
      </c>
      <c t="str" s="30" r="G579">
        <f>HYPERLINK("http://sofifa.com/en/14w/p/n/42","Sco")</f>
        <v>Sco</v>
      </c>
      <c t="str" s="30" r="H579">
        <f>HYPERLINK("http://sofifa.com/en/14w/p/147181-george-boyd","G. Boyd")</f>
        <v>G. Boyd</v>
      </c>
      <c s="21" r="I579">
        <v>70</v>
      </c>
      <c t="s" s="21" r="J579">
        <v>88</v>
      </c>
      <c t="s" s="21" r="K579">
        <v>73</v>
      </c>
      <c s="21" r="L579">
        <v>27</v>
      </c>
      <c s="42" r="M579">
        <v>2</v>
      </c>
      <c s="42" r="N579">
        <v>0.007</v>
      </c>
      <c s="42" r="O579"/>
      <c s="42" r="P579">
        <f>IF((O579&gt;0),N579,0)</f>
        <v>0</v>
      </c>
      <c s="42" r="Q579"/>
    </row>
    <row r="580">
      <c t="s" s="42" r="A580">
        <v>53</v>
      </c>
      <c s="42" r="B580">
        <v>579</v>
      </c>
      <c s="21" r="C580">
        <v>22</v>
      </c>
      <c t="s" s="21" r="D580">
        <v>92</v>
      </c>
      <c t="s" s="42" r="E580">
        <v>54</v>
      </c>
      <c t="s" s="42" r="F580">
        <v>54</v>
      </c>
      <c t="str" s="30" r="G580">
        <f>HYPERLINK("http://sofifa.com/en/14w/p/n/14","Eng")</f>
        <v>Eng</v>
      </c>
      <c t="str" s="30" r="H580">
        <f>HYPERLINK("http://sofifa.com/en/14w/p/143326-steve-harper","S. Harper")</f>
        <v>S. Harper</v>
      </c>
      <c s="21" r="I580">
        <v>68</v>
      </c>
      <c t="s" s="21" r="J580">
        <v>70</v>
      </c>
      <c t="s" s="21" r="K580">
        <v>99</v>
      </c>
      <c s="21" r="L580">
        <v>38</v>
      </c>
      <c s="42" r="M580">
        <v>0.6</v>
      </c>
      <c s="42" r="N580">
        <v>0.008</v>
      </c>
      <c s="42" r="O580"/>
      <c s="42" r="P580">
        <f>IF((O580&gt;0),N580,0)</f>
        <v>0</v>
      </c>
      <c s="42" r="Q580"/>
    </row>
    <row r="581">
      <c t="s" s="42" r="A581">
        <v>53</v>
      </c>
      <c s="42" r="B581">
        <v>580</v>
      </c>
      <c s="21" r="C581">
        <v>16</v>
      </c>
      <c t="s" s="21" r="D581">
        <v>92</v>
      </c>
      <c t="s" s="42" r="E581">
        <v>54</v>
      </c>
      <c t="s" s="42" r="F581">
        <v>54</v>
      </c>
      <c t="str" s="30" r="G581">
        <f>HYPERLINK("http://sofifa.com/en/14w/p/n/47","Swi")</f>
        <v>Swi</v>
      </c>
      <c t="str" s="30" r="H581">
        <f>HYPERLINK("http://sofifa.com/en/14w/p/146816-eldin-jakupovic","E. Jakupović")</f>
        <v>E. Jakupović</v>
      </c>
      <c s="21" r="I581">
        <v>66</v>
      </c>
      <c t="s" s="21" r="J581">
        <v>70</v>
      </c>
      <c t="s" s="21" r="K581">
        <v>95</v>
      </c>
      <c s="21" r="L581">
        <v>28</v>
      </c>
      <c s="42" r="M581">
        <v>0.9</v>
      </c>
      <c s="42" r="N581">
        <v>0.006</v>
      </c>
      <c s="42" r="O581"/>
      <c s="42" r="P581">
        <f>IF((O581&gt;0),N581,0)</f>
        <v>0</v>
      </c>
      <c s="42" r="Q581"/>
    </row>
    <row r="582">
      <c t="s" s="42" r="A582">
        <v>53</v>
      </c>
      <c s="42" r="B582">
        <v>581</v>
      </c>
      <c s="21" r="C582">
        <v>15</v>
      </c>
      <c t="s" s="21" r="D582">
        <v>92</v>
      </c>
      <c t="s" s="42" r="E582">
        <v>54</v>
      </c>
      <c t="s" s="42" r="F582">
        <v>54</v>
      </c>
      <c t="str" s="30" r="G582">
        <f>HYPERLINK("http://sofifa.com/en/14w/p/n/25","Rep")</f>
        <v>Rep</v>
      </c>
      <c t="str" s="30" r="H582">
        <f>HYPERLINK("http://sofifa.com/en/14w/p/147277-paul-mcshane","P. McShane")</f>
        <v>P. McShane</v>
      </c>
      <c s="21" r="I582">
        <v>67</v>
      </c>
      <c t="s" s="21" r="J582">
        <v>75</v>
      </c>
      <c t="s" s="21" r="K582">
        <v>89</v>
      </c>
      <c s="21" r="L582">
        <v>27</v>
      </c>
      <c s="42" r="M582">
        <v>1.3</v>
      </c>
      <c s="42" r="N582">
        <v>0.006</v>
      </c>
      <c s="42" r="O582"/>
      <c s="42" r="P582">
        <f>IF((O582&gt;0),N582,0)</f>
        <v>0</v>
      </c>
      <c s="42" r="Q582"/>
    </row>
    <row r="583">
      <c t="s" s="42" r="A583">
        <v>53</v>
      </c>
      <c s="42" r="B583">
        <v>582</v>
      </c>
      <c s="21" r="C583">
        <v>21</v>
      </c>
      <c t="s" s="21" r="D583">
        <v>92</v>
      </c>
      <c t="s" s="42" r="E583">
        <v>54</v>
      </c>
      <c t="s" s="42" r="F583">
        <v>54</v>
      </c>
      <c t="str" s="30" r="G583">
        <f>HYPERLINK("http://sofifa.com/en/14w/p/n/14","Eng")</f>
        <v>Eng</v>
      </c>
      <c t="str" s="30" r="H583">
        <f>HYPERLINK("http://sofifa.com/en/14w/p/146320-aaron-mclean","A. McLean")</f>
        <v>A. McLean</v>
      </c>
      <c s="21" r="I583">
        <v>66</v>
      </c>
      <c t="s" s="21" r="J583">
        <v>90</v>
      </c>
      <c t="s" s="21" r="K583">
        <v>106</v>
      </c>
      <c s="21" r="L583">
        <v>30</v>
      </c>
      <c s="42" r="M583">
        <v>1.2</v>
      </c>
      <c s="42" r="N583">
        <v>0.006</v>
      </c>
      <c s="42" r="O583"/>
      <c s="42" r="P583">
        <f>IF((O583&gt;0),N583,0)</f>
        <v>0</v>
      </c>
      <c s="42" r="Q583"/>
    </row>
    <row r="584">
      <c t="s" s="42" r="A584">
        <v>53</v>
      </c>
      <c s="42" r="B584">
        <v>583</v>
      </c>
      <c s="21" r="C584">
        <v>10</v>
      </c>
      <c t="s" s="21" r="D584">
        <v>92</v>
      </c>
      <c t="s" s="42" r="E584">
        <v>54</v>
      </c>
      <c t="s" s="42" r="F584">
        <v>54</v>
      </c>
      <c t="str" s="30" r="G584">
        <f>HYPERLINK("http://sofifa.com/en/14w/p/n/44","Slo")</f>
        <v>Slo</v>
      </c>
      <c t="str" s="30" r="H584">
        <f>HYPERLINK("http://sofifa.com/en/14w/p/145343-robert-koren","R. Koren")</f>
        <v>R. Koren</v>
      </c>
      <c s="21" r="I584">
        <v>73</v>
      </c>
      <c t="s" s="21" r="J584">
        <v>88</v>
      </c>
      <c t="s" s="21" r="K584">
        <v>94</v>
      </c>
      <c s="21" r="L584">
        <v>32</v>
      </c>
      <c s="42" r="M584">
        <v>2.6</v>
      </c>
      <c s="42" r="N584">
        <v>0.012</v>
      </c>
      <c s="42" r="O584"/>
      <c s="42" r="P584">
        <f>IF((O584&gt;0),N584,0)</f>
        <v>0</v>
      </c>
      <c s="42" r="Q584"/>
    </row>
    <row r="585">
      <c t="s" s="42" r="A585">
        <v>53</v>
      </c>
      <c s="42" r="B585">
        <v>584</v>
      </c>
      <c s="21" r="C585">
        <v>4</v>
      </c>
      <c t="s" s="21" r="D585">
        <v>92</v>
      </c>
      <c t="s" s="42" r="E585">
        <v>54</v>
      </c>
      <c t="s" s="42" r="F585">
        <v>54</v>
      </c>
      <c t="str" s="30" r="G585">
        <f>HYPERLINK("http://sofifa.com/en/14w/p/n/35","Nor")</f>
        <v>Nor</v>
      </c>
      <c t="str" s="30" r="H585">
        <f>HYPERLINK("http://sofifa.com/en/14w/p/146812-alex-bruce","A. Bruce")</f>
        <v>A. Bruce</v>
      </c>
      <c s="21" r="I585">
        <v>65</v>
      </c>
      <c t="s" s="21" r="J585">
        <v>75</v>
      </c>
      <c t="s" s="21" r="K585">
        <v>79</v>
      </c>
      <c s="21" r="L585">
        <v>28</v>
      </c>
      <c s="42" r="M585">
        <v>0.9</v>
      </c>
      <c s="42" r="N585">
        <v>0.005</v>
      </c>
      <c s="42" r="O585"/>
      <c s="42" r="P585">
        <f>IF((O585&gt;0),N585,0)</f>
        <v>0</v>
      </c>
      <c s="42" r="Q585"/>
    </row>
    <row r="586">
      <c t="s" s="42" r="A586">
        <v>53</v>
      </c>
      <c s="42" r="B586">
        <v>585</v>
      </c>
      <c s="21" r="C586">
        <v>40</v>
      </c>
      <c t="s" s="21" r="D586">
        <v>97</v>
      </c>
      <c t="s" s="42" r="E586">
        <v>54</v>
      </c>
      <c t="s" s="42" r="F586">
        <v>54</v>
      </c>
      <c t="str" s="30" r="G586">
        <f>HYPERLINK("http://sofifa.com/en/14w/p/n/14","Eng")</f>
        <v>Eng</v>
      </c>
      <c t="str" s="30" r="H586">
        <f>HYPERLINK("http://sofifa.com/en/14w/p/150194-will-aimson","W. Aimson")</f>
        <v>W. Aimson</v>
      </c>
      <c s="21" r="I586">
        <v>57</v>
      </c>
      <c t="s" s="21" r="J586">
        <v>75</v>
      </c>
      <c t="s" s="21" r="K586">
        <v>82</v>
      </c>
      <c s="21" r="L586">
        <v>19</v>
      </c>
      <c s="42" r="M586">
        <v>0.2</v>
      </c>
      <c s="42" r="N586">
        <v>0.002</v>
      </c>
      <c s="42" r="O586"/>
      <c s="42" r="P586">
        <f>IF((O586&gt;0),N586,0)</f>
        <v>0</v>
      </c>
      <c s="42" r="Q586"/>
    </row>
    <row r="587">
      <c t="s" s="42" r="A587">
        <v>53</v>
      </c>
      <c s="42" r="B587">
        <v>586</v>
      </c>
      <c s="21" r="C587">
        <v>48</v>
      </c>
      <c t="s" s="21" r="D587">
        <v>97</v>
      </c>
      <c t="s" s="42" r="E587">
        <v>54</v>
      </c>
      <c t="s" s="42" r="F587">
        <v>54</v>
      </c>
      <c t="str" s="30" r="G587">
        <f>HYPERLINK("http://sofifa.com/en/14w/p/n/14","Eng")</f>
        <v>Eng</v>
      </c>
      <c t="str" s="30" r="H587">
        <f>HYPERLINK("http://sofifa.com/en/14w/p/150563-sam-topliss","S. Topliss")</f>
        <v>S. Topliss</v>
      </c>
      <c s="21" r="I587">
        <v>55</v>
      </c>
      <c t="s" s="21" r="J587">
        <v>72</v>
      </c>
      <c t="s" s="21" r="K587">
        <v>86</v>
      </c>
      <c s="21" r="L587">
        <v>18</v>
      </c>
      <c s="42" r="M587">
        <v>0.1</v>
      </c>
      <c s="42" r="N587">
        <v>0.002</v>
      </c>
      <c s="42" r="O587"/>
      <c s="42" r="P587">
        <f>IF((O587&gt;0),N587,0)</f>
        <v>0</v>
      </c>
      <c s="42" r="Q587"/>
    </row>
    <row r="588">
      <c t="s" s="42" r="A588">
        <v>53</v>
      </c>
      <c s="42" r="B588">
        <v>587</v>
      </c>
      <c s="21" r="C588">
        <v>47</v>
      </c>
      <c t="s" s="21" r="D588">
        <v>97</v>
      </c>
      <c t="s" s="42" r="E588">
        <v>54</v>
      </c>
      <c t="s" s="42" r="F588">
        <v>54</v>
      </c>
      <c t="str" s="30" r="G588">
        <f>HYPERLINK("http://sofifa.com/en/14w/p/n/35","Nor")</f>
        <v>Nor</v>
      </c>
      <c t="str" s="30" r="H588">
        <f>HYPERLINK("http://sofifa.com/en/14w/p/150562-paul-mcelroy","P. McElroy")</f>
        <v>P. McElroy</v>
      </c>
      <c s="21" r="I588">
        <v>54</v>
      </c>
      <c t="s" s="21" r="J588">
        <v>78</v>
      </c>
      <c t="s" s="21" r="K588">
        <v>94</v>
      </c>
      <c s="21" r="L588">
        <v>18</v>
      </c>
      <c s="42" r="M588">
        <v>0.1</v>
      </c>
      <c s="42" r="N588">
        <v>0.002</v>
      </c>
      <c s="42" r="O588"/>
      <c s="42" r="P588">
        <f>IF((O588&gt;0),N588,0)</f>
        <v>0</v>
      </c>
      <c s="42" r="Q588"/>
    </row>
    <row r="589">
      <c t="s" s="42" r="A589">
        <v>53</v>
      </c>
      <c s="42" r="B589">
        <v>588</v>
      </c>
      <c s="21" r="C589">
        <v>42</v>
      </c>
      <c t="s" s="21" r="D589">
        <v>97</v>
      </c>
      <c t="s" s="42" r="E589">
        <v>54</v>
      </c>
      <c t="s" s="42" r="F589">
        <v>54</v>
      </c>
      <c t="str" s="30" r="G589">
        <f>HYPERLINK("http://sofifa.com/en/14w/p/n/14","Eng")</f>
        <v>Eng</v>
      </c>
      <c t="str" s="30" r="H589">
        <f>HYPERLINK("http://sofifa.com/en/14w/p/150559-daniel-chambers","D. Chambers")</f>
        <v>D. Chambers</v>
      </c>
      <c s="21" r="I589">
        <v>53</v>
      </c>
      <c t="s" s="21" r="J589">
        <v>90</v>
      </c>
      <c t="s" s="21" r="K589">
        <v>82</v>
      </c>
      <c s="21" r="L589">
        <v>18</v>
      </c>
      <c s="42" r="M589">
        <v>0.1</v>
      </c>
      <c s="42" r="N589">
        <v>0.002</v>
      </c>
      <c s="42" r="O589"/>
      <c s="42" r="P589">
        <f>IF((O589&gt;0),N589,0)</f>
        <v>0</v>
      </c>
      <c s="42" r="Q589"/>
    </row>
    <row r="590">
      <c t="s" s="42" r="A590">
        <v>53</v>
      </c>
      <c s="42" r="B590">
        <v>589</v>
      </c>
      <c s="21" r="C590">
        <v>49</v>
      </c>
      <c t="s" s="21" r="D590">
        <v>97</v>
      </c>
      <c t="s" s="42" r="E590">
        <v>54</v>
      </c>
      <c t="s" s="42" r="F590">
        <v>54</v>
      </c>
      <c t="str" s="30" r="G590">
        <f>HYPERLINK("http://sofifa.com/en/14w/p/n/35","Nor")</f>
        <v>Nor</v>
      </c>
      <c t="str" s="30" r="H590">
        <f>HYPERLINK("http://sofifa.com/en/14w/p/150255-dougie-wilson","D. Wilson")</f>
        <v>D. Wilson</v>
      </c>
      <c s="21" r="I590">
        <v>54</v>
      </c>
      <c t="s" s="21" r="J590">
        <v>81</v>
      </c>
      <c t="s" s="21" r="K590">
        <v>94</v>
      </c>
      <c s="21" r="L590">
        <v>19</v>
      </c>
      <c s="42" r="M590">
        <v>0.1</v>
      </c>
      <c s="42" r="N590">
        <v>0.002</v>
      </c>
      <c s="42" r="O590"/>
      <c s="42" r="P590">
        <f>IF((O590&gt;0),N590,0)</f>
        <v>0</v>
      </c>
      <c s="42" r="Q590"/>
    </row>
    <row r="591">
      <c t="s" s="42" r="A591">
        <v>53</v>
      </c>
      <c s="42" r="B591">
        <v>590</v>
      </c>
      <c s="21" r="C591">
        <v>41</v>
      </c>
      <c t="s" s="21" r="D591">
        <v>97</v>
      </c>
      <c t="s" s="42" r="E591">
        <v>54</v>
      </c>
      <c t="s" s="42" r="F591">
        <v>54</v>
      </c>
      <c t="str" s="30" r="G591">
        <f>HYPERLINK("http://sofifa.com/en/14w/p/n/14","Eng")</f>
        <v>Eng</v>
      </c>
      <c t="str" s="30" r="H591">
        <f>HYPERLINK("http://sofifa.com/en/14w/p/149577-james-armstrong","J. Armstrong")</f>
        <v>J. Armstrong</v>
      </c>
      <c s="21" r="I591">
        <v>59</v>
      </c>
      <c t="s" s="21" r="J591">
        <v>88</v>
      </c>
      <c t="s" s="21" r="K591">
        <v>94</v>
      </c>
      <c s="21" r="L591">
        <v>21</v>
      </c>
      <c s="42" r="M591">
        <v>0.5</v>
      </c>
      <c s="42" r="N591">
        <v>0.003</v>
      </c>
      <c s="42" r="O591"/>
      <c s="42" r="P591">
        <f>IF((O591&gt;0),N591,0)</f>
        <v>0</v>
      </c>
      <c s="42" r="Q591"/>
    </row>
    <row r="592">
      <c t="s" s="42" r="A592">
        <v>53</v>
      </c>
      <c s="42" r="B592">
        <v>591</v>
      </c>
      <c s="21" r="C592">
        <v>19</v>
      </c>
      <c t="s" s="21" r="D592">
        <v>97</v>
      </c>
      <c t="s" s="42" r="E592">
        <v>54</v>
      </c>
      <c t="s" s="42" r="F592">
        <v>54</v>
      </c>
      <c t="str" s="30" r="G592">
        <f>HYPERLINK("http://sofifa.com/en/14w/p/n/35","Nor")</f>
        <v>Nor</v>
      </c>
      <c t="str" s="30" r="H592">
        <f>HYPERLINK("http://sofifa.com/en/14w/p/149062-joe-dudgeon","J. Dudgeon")</f>
        <v>J. Dudgeon</v>
      </c>
      <c s="21" r="I592">
        <v>65</v>
      </c>
      <c t="s" s="21" r="J592">
        <v>78</v>
      </c>
      <c t="s" s="21" r="K592">
        <v>82</v>
      </c>
      <c s="21" r="L592">
        <v>22</v>
      </c>
      <c s="42" r="M592">
        <v>1</v>
      </c>
      <c s="42" r="N592">
        <v>0.004</v>
      </c>
      <c s="42" r="O592"/>
      <c s="42" r="P592">
        <f>IF((O592&gt;0),N592,0)</f>
        <v>0</v>
      </c>
      <c s="42" r="Q592"/>
    </row>
    <row r="593">
      <c t="s" s="42" r="A593">
        <v>53</v>
      </c>
      <c s="42" r="B593">
        <v>592</v>
      </c>
      <c s="21" r="C593">
        <v>33</v>
      </c>
      <c t="s" s="21" r="D593">
        <v>97</v>
      </c>
      <c t="s" s="42" r="E593">
        <v>54</v>
      </c>
      <c t="s" s="42" r="F593">
        <v>54</v>
      </c>
      <c t="str" s="30" r="G593">
        <f>HYPERLINK("http://sofifa.com/en/14w/p/n/21","Ger")</f>
        <v>Ger</v>
      </c>
      <c t="str" s="30" r="H593">
        <f>HYPERLINK("http://sofifa.com/en/14w/p/147603-nick-proschwitz","N. Proschwitz")</f>
        <v>N. Proschwitz</v>
      </c>
      <c s="21" r="I593">
        <v>65</v>
      </c>
      <c t="s" s="21" r="J593">
        <v>90</v>
      </c>
      <c t="s" s="21" r="K593">
        <v>91</v>
      </c>
      <c s="21" r="L593">
        <v>26</v>
      </c>
      <c s="42" r="M593">
        <v>1.1</v>
      </c>
      <c s="42" r="N593">
        <v>0.005</v>
      </c>
      <c s="42" r="O593"/>
      <c s="42" r="P593">
        <f>IF((O593&gt;0),N593,0)</f>
        <v>0</v>
      </c>
      <c s="42" r="Q593"/>
    </row>
    <row r="594">
      <c t="s" s="42" r="A594">
        <v>53</v>
      </c>
      <c s="42" r="B594">
        <v>593</v>
      </c>
      <c s="21" r="C594">
        <v>30</v>
      </c>
      <c t="s" s="21" r="D594">
        <v>97</v>
      </c>
      <c t="s" s="42" r="E594">
        <v>54</v>
      </c>
      <c t="s" s="42" r="F594">
        <v>54</v>
      </c>
      <c t="str" s="30" r="G594">
        <f>HYPERLINK("http://sofifa.com/en/14w/p/n/25","Rep")</f>
        <v>Rep</v>
      </c>
      <c t="str" s="30" r="H594">
        <f>HYPERLINK("http://sofifa.com/en/14w/p/149348-conor-henderson","C. Henderson")</f>
        <v>C. Henderson</v>
      </c>
      <c s="21" r="I594">
        <v>61</v>
      </c>
      <c t="s" s="21" r="J594">
        <v>81</v>
      </c>
      <c t="s" s="21" r="K594">
        <v>73</v>
      </c>
      <c s="21" r="L594">
        <v>21</v>
      </c>
      <c s="42" r="M594">
        <v>0.6</v>
      </c>
      <c s="42" r="N594">
        <v>0.003</v>
      </c>
      <c s="42" r="O594"/>
      <c s="42" r="P594">
        <f>IF((O594&gt;0),N594,0)</f>
        <v>0</v>
      </c>
      <c s="42" r="Q594"/>
    </row>
    <row r="595">
      <c t="s" s="42" r="A595">
        <v>53</v>
      </c>
      <c s="42" r="B595">
        <v>594</v>
      </c>
      <c s="21" r="C595">
        <v>32</v>
      </c>
      <c t="s" s="21" r="D595">
        <v>97</v>
      </c>
      <c t="s" s="42" r="E595">
        <v>54</v>
      </c>
      <c t="s" s="42" r="F595">
        <v>54</v>
      </c>
      <c t="str" s="30" r="G595">
        <f>HYPERLINK("http://sofifa.com/en/14w/p/n/63","Ant")</f>
        <v>Ant</v>
      </c>
      <c t="str" s="30" r="H595">
        <f>HYPERLINK("http://sofifa.com/en/14w/p/149942-calaum-jahraldo-martin","C. Jahraldo-Martin")</f>
        <v>C. Jahraldo-Martin</v>
      </c>
      <c s="21" r="I595">
        <v>57</v>
      </c>
      <c t="s" s="21" r="J595">
        <v>90</v>
      </c>
      <c t="s" s="21" r="K595">
        <v>94</v>
      </c>
      <c s="21" r="L595">
        <v>20</v>
      </c>
      <c s="42" r="M595">
        <v>0.3</v>
      </c>
      <c s="42" r="N595">
        <v>0.002</v>
      </c>
      <c s="42" r="O595"/>
      <c s="42" r="P595">
        <f>IF((O595&gt;0),N595,0)</f>
        <v>0</v>
      </c>
      <c s="42" r="Q595"/>
    </row>
    <row r="596">
      <c t="s" s="42" r="A596">
        <v>35</v>
      </c>
      <c s="42" r="B596">
        <v>595</v>
      </c>
      <c s="21" r="C596">
        <v>1</v>
      </c>
      <c t="s" s="21" r="D596">
        <v>70</v>
      </c>
      <c t="s" s="42" r="E596">
        <v>36</v>
      </c>
      <c t="s" s="42" r="F596">
        <v>36</v>
      </c>
      <c t="str" s="30" r="G596">
        <f>HYPERLINK("http://sofifa.com/en/14w/p/n/34","Net")</f>
        <v>Net</v>
      </c>
      <c t="str" s="30" r="H596">
        <f>HYPERLINK("http://sofifa.com/en/14w/p/146468-michel-vorm","M. Vorm")</f>
        <v>M. Vorm</v>
      </c>
      <c s="21" r="I596">
        <v>81</v>
      </c>
      <c t="s" s="21" r="J596">
        <v>70</v>
      </c>
      <c t="s" s="21" r="K596">
        <v>89</v>
      </c>
      <c s="21" r="L596">
        <v>29</v>
      </c>
      <c s="42" r="M596">
        <v>8.6</v>
      </c>
      <c s="42" r="N596">
        <v>0.043</v>
      </c>
      <c s="42" r="O596"/>
      <c s="42" r="P596">
        <f>IF((O596&gt;0),N596,0)</f>
        <v>0</v>
      </c>
      <c s="42" r="Q596"/>
    </row>
    <row r="597">
      <c t="s" s="42" r="A597">
        <v>35</v>
      </c>
      <c s="42" r="B597">
        <v>596</v>
      </c>
      <c s="21" r="C597">
        <v>19</v>
      </c>
      <c t="s" s="21" r="D597">
        <v>72</v>
      </c>
      <c t="s" s="42" r="E597">
        <v>36</v>
      </c>
      <c t="s" s="42" r="F597">
        <v>36</v>
      </c>
      <c t="str" s="30" r="G597">
        <f>HYPERLINK("http://sofifa.com/en/14w/p/n/34","Net")</f>
        <v>Net</v>
      </c>
      <c t="str" s="30" r="H597">
        <f>HYPERLINK("http://sofifa.com/en/14w/p/147200-dwight-tiendalli","D. Tiendalli")</f>
        <v>D. Tiendalli</v>
      </c>
      <c s="21" r="I597">
        <v>70</v>
      </c>
      <c t="s" s="21" r="J597">
        <v>72</v>
      </c>
      <c t="s" s="21" r="K597">
        <v>79</v>
      </c>
      <c s="21" r="L597">
        <v>27</v>
      </c>
      <c s="42" r="M597">
        <v>1.7</v>
      </c>
      <c s="42" r="N597">
        <v>0.007</v>
      </c>
      <c s="42" r="O597"/>
      <c s="42" r="P597">
        <f>IF((O597&gt;0),N597,0)</f>
        <v>0</v>
      </c>
      <c s="42" r="Q597"/>
    </row>
    <row r="598">
      <c t="s" s="42" r="A598">
        <v>35</v>
      </c>
      <c s="42" r="B598">
        <v>597</v>
      </c>
      <c s="21" r="C598">
        <v>4</v>
      </c>
      <c t="s" s="21" r="D598">
        <v>74</v>
      </c>
      <c t="s" s="42" r="E598">
        <v>36</v>
      </c>
      <c t="s" s="42" r="F598">
        <v>36</v>
      </c>
      <c t="str" s="30" r="G598">
        <f>HYPERLINK("http://sofifa.com/en/14w/p/n/45","Spa")</f>
        <v>Spa</v>
      </c>
      <c t="str" s="30" r="H598">
        <f>HYPERLINK("http://sofifa.com/en/14w/p/147701-jose-manuel-flores-moreno","Chico")</f>
        <v>Chico</v>
      </c>
      <c s="21" r="I598">
        <v>76</v>
      </c>
      <c t="s" s="21" r="J598">
        <v>75</v>
      </c>
      <c t="s" s="21" r="K598">
        <v>99</v>
      </c>
      <c s="21" r="L598">
        <v>26</v>
      </c>
      <c s="42" r="M598">
        <v>4.8</v>
      </c>
      <c s="42" r="N598">
        <v>0.015</v>
      </c>
      <c s="42" r="O598"/>
      <c s="42" r="P598">
        <f>IF((O598&gt;0),N598,0)</f>
        <v>0</v>
      </c>
      <c s="42" r="Q598"/>
    </row>
    <row r="599">
      <c t="s" s="42" r="A599">
        <v>35</v>
      </c>
      <c s="42" r="B599">
        <v>598</v>
      </c>
      <c s="21" r="C599">
        <v>2</v>
      </c>
      <c t="s" s="21" r="D599">
        <v>77</v>
      </c>
      <c t="s" s="42" r="E599">
        <v>36</v>
      </c>
      <c t="s" s="42" r="F599">
        <v>36</v>
      </c>
      <c t="str" s="30" r="G599">
        <f>HYPERLINK("http://sofifa.com/en/14w/p/n/45","Spa")</f>
        <v>Spa</v>
      </c>
      <c t="str" s="30" r="H599">
        <f>HYPERLINK("http://sofifa.com/en/14w/p/149543-jordi-amat-maas","Jordi Amat")</f>
        <v>Jordi Amat</v>
      </c>
      <c s="21" r="I599">
        <v>74</v>
      </c>
      <c t="s" s="21" r="J599">
        <v>75</v>
      </c>
      <c t="s" s="21" r="K599">
        <v>89</v>
      </c>
      <c s="21" r="L599">
        <v>21</v>
      </c>
      <c s="42" r="M599">
        <v>3.7</v>
      </c>
      <c s="42" r="N599">
        <v>0.009</v>
      </c>
      <c s="42" r="O599"/>
      <c s="42" r="P599">
        <f>IF((O599&gt;0),N599,0)</f>
        <v>0</v>
      </c>
      <c s="42" r="Q599"/>
    </row>
    <row r="600">
      <c t="s" s="42" r="A600">
        <v>35</v>
      </c>
      <c s="42" r="B600">
        <v>599</v>
      </c>
      <c s="21" r="C600">
        <v>33</v>
      </c>
      <c t="s" s="21" r="D600">
        <v>78</v>
      </c>
      <c t="s" s="42" r="E600">
        <v>36</v>
      </c>
      <c t="s" s="42" r="F600">
        <v>36</v>
      </c>
      <c t="str" s="30" r="G600">
        <f>HYPERLINK("http://sofifa.com/en/14w/p/n/50","Wal")</f>
        <v>Wal</v>
      </c>
      <c t="str" s="30" r="H600">
        <f>HYPERLINK("http://sofifa.com/en/14w/p/149942-ben-davies","B. Davies")</f>
        <v>B. Davies</v>
      </c>
      <c s="21" r="I600">
        <v>70</v>
      </c>
      <c t="s" s="21" r="J600">
        <v>78</v>
      </c>
      <c t="s" s="21" r="K600">
        <v>106</v>
      </c>
      <c s="21" r="L600">
        <v>20</v>
      </c>
      <c s="42" r="M600">
        <v>1.9</v>
      </c>
      <c s="42" r="N600">
        <v>0.006</v>
      </c>
      <c s="42" r="O600"/>
      <c s="42" r="P600">
        <f>IF((O600&gt;0),N600,0)</f>
        <v>0</v>
      </c>
      <c s="42" r="Q600"/>
    </row>
    <row r="601">
      <c t="s" s="42" r="A601">
        <v>35</v>
      </c>
      <c s="42" r="B601">
        <v>600</v>
      </c>
      <c s="21" r="C601">
        <v>8</v>
      </c>
      <c t="s" s="21" r="D601">
        <v>102</v>
      </c>
      <c t="s" s="42" r="E601">
        <v>36</v>
      </c>
      <c t="s" s="42" r="F601">
        <v>36</v>
      </c>
      <c t="str" s="30" r="G601">
        <f>HYPERLINK("http://sofifa.com/en/14w/p/n/14","Eng")</f>
        <v>Eng</v>
      </c>
      <c t="str" s="30" r="H601">
        <f>HYPERLINK("http://sofifa.com/en/14w/p/149520-jonjo-shelvey","J. Shelvey")</f>
        <v>J. Shelvey</v>
      </c>
      <c s="21" r="I601">
        <v>74</v>
      </c>
      <c t="s" s="21" r="J601">
        <v>88</v>
      </c>
      <c t="s" s="21" r="K601">
        <v>94</v>
      </c>
      <c s="21" r="L601">
        <v>21</v>
      </c>
      <c s="42" r="M601">
        <v>4.2</v>
      </c>
      <c s="42" r="N601">
        <v>0.009</v>
      </c>
      <c s="42" r="O601"/>
      <c s="42" r="P601">
        <f>IF((O601&gt;0),N601,0)</f>
        <v>0</v>
      </c>
      <c s="42" r="Q601"/>
    </row>
    <row r="602">
      <c t="s" s="42" r="A602">
        <v>35</v>
      </c>
      <c s="42" r="B602">
        <v>601</v>
      </c>
      <c s="21" r="C602">
        <v>21</v>
      </c>
      <c t="s" s="21" r="D602">
        <v>103</v>
      </c>
      <c t="s" s="42" r="E602">
        <v>36</v>
      </c>
      <c t="s" s="42" r="F602">
        <v>36</v>
      </c>
      <c t="str" s="30" r="G602">
        <f>HYPERLINK("http://sofifa.com/en/14w/p/n/45","Spa")</f>
        <v>Spa</v>
      </c>
      <c t="str" s="30" r="H602">
        <f>HYPERLINK("http://sofifa.com/en/14w/p/147783-jose-alberto-canas-ruiz-herrera","Cañas")</f>
        <v>Cañas</v>
      </c>
      <c s="21" r="I602">
        <v>77</v>
      </c>
      <c t="s" s="21" r="J602">
        <v>98</v>
      </c>
      <c t="s" s="21" r="K602">
        <v>82</v>
      </c>
      <c s="21" r="L602">
        <v>26</v>
      </c>
      <c s="42" r="M602">
        <v>5.5</v>
      </c>
      <c s="42" r="N602">
        <v>0.017</v>
      </c>
      <c s="42" r="O602"/>
      <c s="42" r="P602">
        <f>IF((O602&gt;0),N602,0)</f>
        <v>0</v>
      </c>
      <c s="42" r="Q602"/>
    </row>
    <row r="603">
      <c t="s" s="42" r="A603">
        <v>35</v>
      </c>
      <c s="42" r="B603">
        <v>602</v>
      </c>
      <c s="21" r="C603">
        <v>20</v>
      </c>
      <c t="s" s="21" r="D603">
        <v>88</v>
      </c>
      <c t="s" s="42" r="E603">
        <v>36</v>
      </c>
      <c t="s" s="42" r="F603">
        <v>36</v>
      </c>
      <c t="str" s="30" r="G603">
        <f>HYPERLINK("http://sofifa.com/en/14w/p/n/34","Net")</f>
        <v>Net</v>
      </c>
      <c t="str" s="30" r="H603">
        <f>HYPERLINK("http://sofifa.com/en/14w/p/147892-jonathan-de-guzman","J. De Guzmán")</f>
        <v>J. De Guzmán</v>
      </c>
      <c s="21" r="I603">
        <v>76</v>
      </c>
      <c t="s" s="21" r="J603">
        <v>88</v>
      </c>
      <c t="s" s="21" r="K603">
        <v>86</v>
      </c>
      <c s="21" r="L603">
        <v>25</v>
      </c>
      <c s="42" r="M603">
        <v>5.7</v>
      </c>
      <c s="42" r="N603">
        <v>0.015</v>
      </c>
      <c s="42" r="O603"/>
      <c s="42" r="P603">
        <f>IF((O603&gt;0),N603,0)</f>
        <v>0</v>
      </c>
      <c s="42" r="Q603"/>
    </row>
    <row r="604">
      <c t="s" s="42" r="A604">
        <v>35</v>
      </c>
      <c s="42" r="B604">
        <v>603</v>
      </c>
      <c s="21" r="C604">
        <v>12</v>
      </c>
      <c t="s" s="21" r="D604">
        <v>85</v>
      </c>
      <c t="s" s="42" r="E604">
        <v>36</v>
      </c>
      <c t="s" s="42" r="F604">
        <v>36</v>
      </c>
      <c t="str" s="30" r="G604">
        <f>HYPERLINK("http://sofifa.com/en/14w/p/n/14","Eng")</f>
        <v>Eng</v>
      </c>
      <c t="str" s="30" r="H604">
        <f>HYPERLINK("http://sofifa.com/en/14w/p/147969-nathan-dyer","N. Dyer")</f>
        <v>N. Dyer</v>
      </c>
      <c s="21" r="I604">
        <v>75</v>
      </c>
      <c t="s" s="21" r="J604">
        <v>85</v>
      </c>
      <c t="s" s="21" r="K604">
        <v>110</v>
      </c>
      <c s="21" r="L604">
        <v>25</v>
      </c>
      <c s="42" r="M604">
        <v>4.9</v>
      </c>
      <c s="42" r="N604">
        <v>0.013</v>
      </c>
      <c s="42" r="O604"/>
      <c s="42" r="P604">
        <f>IF((O604&gt;0),N604,0)</f>
        <v>0</v>
      </c>
      <c s="42" r="Q604"/>
    </row>
    <row r="605">
      <c t="s" s="42" r="A605">
        <v>35</v>
      </c>
      <c s="42" r="B605">
        <v>604</v>
      </c>
      <c s="21" r="C605">
        <v>9</v>
      </c>
      <c t="s" s="21" r="D605">
        <v>90</v>
      </c>
      <c t="s" s="42" r="E605">
        <v>36</v>
      </c>
      <c t="s" s="42" r="F605">
        <v>36</v>
      </c>
      <c t="str" s="30" r="G605">
        <f>HYPERLINK("http://sofifa.com/en/14w/p/n/45","Spa")</f>
        <v>Spa</v>
      </c>
      <c t="str" s="30" r="H605">
        <f>HYPERLINK("http://sofifa.com/en/14w/p/147351-miguel-perez-cuesta","Michu")</f>
        <v>Michu</v>
      </c>
      <c s="21" r="I605">
        <v>80</v>
      </c>
      <c t="s" s="21" r="J605">
        <v>90</v>
      </c>
      <c t="s" s="21" r="K605">
        <v>73</v>
      </c>
      <c s="21" r="L605">
        <v>27</v>
      </c>
      <c s="42" r="M605">
        <v>11.2</v>
      </c>
      <c s="42" r="N605">
        <v>0.03</v>
      </c>
      <c s="42" r="O605"/>
      <c s="42" r="P605">
        <f>IF((O605&gt;0),N605,0)</f>
        <v>0</v>
      </c>
      <c s="42" r="Q605"/>
    </row>
    <row r="606">
      <c t="s" s="42" r="A606">
        <v>35</v>
      </c>
      <c s="42" r="B606">
        <v>605</v>
      </c>
      <c s="21" r="C606">
        <v>15</v>
      </c>
      <c t="s" s="21" r="D606">
        <v>96</v>
      </c>
      <c t="s" s="42" r="E606">
        <v>36</v>
      </c>
      <c t="s" s="42" r="F606">
        <v>36</v>
      </c>
      <c t="str" s="30" r="G606">
        <f>HYPERLINK("http://sofifa.com/en/14w/p/n/14","Eng")</f>
        <v>Eng</v>
      </c>
      <c t="str" s="30" r="H606">
        <f>HYPERLINK("http://sofifa.com/en/14w/p/146913-wayne-routledge","W. Routledge")</f>
        <v>W. Routledge</v>
      </c>
      <c s="21" r="I606">
        <v>74</v>
      </c>
      <c t="s" s="21" r="J606">
        <v>96</v>
      </c>
      <c t="s" s="21" r="K606">
        <v>106</v>
      </c>
      <c s="21" r="L606">
        <v>28</v>
      </c>
      <c s="42" r="M606">
        <v>3.5</v>
      </c>
      <c s="42" r="N606">
        <v>0.011</v>
      </c>
      <c s="42" r="O606"/>
      <c s="42" r="P606">
        <f>IF((O606&gt;0),N606,0)</f>
        <v>0</v>
      </c>
      <c s="42" r="Q606"/>
    </row>
    <row r="607">
      <c t="s" s="42" r="A607">
        <v>35</v>
      </c>
      <c s="42" r="B607">
        <v>606</v>
      </c>
      <c s="21" r="C607">
        <v>35</v>
      </c>
      <c t="s" s="21" r="D607">
        <v>92</v>
      </c>
      <c t="s" s="42" r="E607">
        <v>36</v>
      </c>
      <c t="s" s="42" r="F607">
        <v>36</v>
      </c>
      <c t="str" s="30" r="G607">
        <f>HYPERLINK("http://sofifa.com/en/14w/p/n/50","Wal")</f>
        <v>Wal</v>
      </c>
      <c t="str" s="30" r="H607">
        <f>HYPERLINK("http://sofifa.com/en/14w/p/149516-daniel-alfei","D. Alfei")</f>
        <v>D. Alfei</v>
      </c>
      <c s="21" r="I607">
        <v>58</v>
      </c>
      <c t="s" s="21" r="J607">
        <v>72</v>
      </c>
      <c t="s" s="21" r="K607">
        <v>79</v>
      </c>
      <c s="21" r="L607">
        <v>21</v>
      </c>
      <c s="42" r="M607">
        <v>0.3</v>
      </c>
      <c s="42" r="N607">
        <v>0.002</v>
      </c>
      <c s="42" r="O607"/>
      <c s="42" r="P607">
        <f>IF((O607&gt;0),N607,0)</f>
        <v>0</v>
      </c>
      <c s="42" r="Q607"/>
    </row>
    <row r="608">
      <c t="s" s="42" r="A608">
        <v>35</v>
      </c>
      <c s="42" r="B608">
        <v>607</v>
      </c>
      <c s="21" r="C608">
        <v>10</v>
      </c>
      <c t="s" s="21" r="D608">
        <v>92</v>
      </c>
      <c t="s" s="42" r="E608">
        <v>36</v>
      </c>
      <c t="s" s="42" r="F608">
        <v>36</v>
      </c>
      <c t="str" s="30" r="G608">
        <f>HYPERLINK("http://sofifa.com/en/14w/p/n/108","Ivo")</f>
        <v>Ivo</v>
      </c>
      <c t="str" s="30" r="H608">
        <f>HYPERLINK("http://sofifa.com/en/14w/p/148346-wilfried-bony","W. Bony")</f>
        <v>W. Bony</v>
      </c>
      <c s="21" r="I608">
        <v>80</v>
      </c>
      <c t="s" s="21" r="J608">
        <v>90</v>
      </c>
      <c t="s" s="21" r="K608">
        <v>89</v>
      </c>
      <c s="21" r="L608">
        <v>24</v>
      </c>
      <c s="42" r="M608">
        <v>12.6</v>
      </c>
      <c s="42" r="N608">
        <v>0.03</v>
      </c>
      <c s="42" r="O608"/>
      <c s="42" r="P608">
        <f>IF((O608&gt;0),N608,0)</f>
        <v>0</v>
      </c>
      <c s="42" r="Q608"/>
    </row>
    <row r="609">
      <c t="s" s="42" r="A609">
        <v>35</v>
      </c>
      <c s="42" r="B609">
        <v>608</v>
      </c>
      <c s="21" r="C609">
        <v>26</v>
      </c>
      <c t="s" s="21" r="D609">
        <v>92</v>
      </c>
      <c t="s" s="42" r="E609">
        <v>36</v>
      </c>
      <c t="s" s="42" r="F609">
        <v>36</v>
      </c>
      <c t="str" s="30" r="G609">
        <f>HYPERLINK("http://sofifa.com/en/14w/p/n/45","Spa")</f>
        <v>Spa</v>
      </c>
      <c t="str" s="30" r="H609">
        <f>HYPERLINK("http://sofifa.com/en/14w/p/149214-alvaro-vazquez-garcia","Álvaro")</f>
        <v>Álvaro</v>
      </c>
      <c s="21" r="I609">
        <v>73</v>
      </c>
      <c t="s" s="21" r="J609">
        <v>90</v>
      </c>
      <c t="s" s="21" r="K609">
        <v>89</v>
      </c>
      <c s="21" r="L609">
        <v>22</v>
      </c>
      <c s="42" r="M609">
        <v>3.8</v>
      </c>
      <c s="42" r="N609">
        <v>0.009</v>
      </c>
      <c s="42" r="O609"/>
      <c s="42" r="P609">
        <f>IF((O609&gt;0),N609,0)</f>
        <v>0</v>
      </c>
      <c s="42" r="Q609"/>
    </row>
    <row r="610">
      <c t="s" s="42" r="A610">
        <v>35</v>
      </c>
      <c s="42" r="B610">
        <v>609</v>
      </c>
      <c s="21" r="C610">
        <v>11</v>
      </c>
      <c t="s" s="21" r="D610">
        <v>92</v>
      </c>
      <c t="s" s="42" r="E610">
        <v>36</v>
      </c>
      <c t="s" s="42" r="F610">
        <v>36</v>
      </c>
      <c t="str" s="30" r="G610">
        <f>HYPERLINK("http://sofifa.com/en/14w/p/n/45","Spa")</f>
        <v>Spa</v>
      </c>
      <c t="str" s="30" r="H610">
        <f>HYPERLINK("http://sofifa.com/en/14w/p/147007-pablo-hernandez-dominguez","Pablo Hernández")</f>
        <v>Pablo Hernández</v>
      </c>
      <c s="21" r="I610">
        <v>77</v>
      </c>
      <c t="s" s="21" r="J610">
        <v>96</v>
      </c>
      <c t="s" s="21" r="K610">
        <v>86</v>
      </c>
      <c s="21" r="L610">
        <v>28</v>
      </c>
      <c s="42" r="M610">
        <v>5.9</v>
      </c>
      <c s="42" r="N610">
        <v>0.017</v>
      </c>
      <c s="42" r="O610"/>
      <c s="42" r="P610">
        <f>IF((O610&gt;0),N610,0)</f>
        <v>0</v>
      </c>
      <c s="42" r="Q610"/>
    </row>
    <row r="611">
      <c t="s" s="42" r="A611">
        <v>35</v>
      </c>
      <c s="42" r="B611">
        <v>610</v>
      </c>
      <c s="21" r="C611">
        <v>25</v>
      </c>
      <c t="s" s="21" r="D611">
        <v>92</v>
      </c>
      <c t="s" s="42" r="E611">
        <v>36</v>
      </c>
      <c t="s" s="42" r="F611">
        <v>36</v>
      </c>
      <c t="str" s="30" r="G611">
        <f>HYPERLINK("http://sofifa.com/en/14w/p/n/21","Ger")</f>
        <v>Ger</v>
      </c>
      <c t="str" s="30" r="H611">
        <f>HYPERLINK("http://sofifa.com/en/14w/p/144669-gerhard-tremmel","G. Tremmel")</f>
        <v>G. Tremmel</v>
      </c>
      <c s="21" r="I611">
        <v>73</v>
      </c>
      <c t="s" s="21" r="J611">
        <v>70</v>
      </c>
      <c t="s" s="21" r="K611">
        <v>95</v>
      </c>
      <c s="21" r="L611">
        <v>34</v>
      </c>
      <c s="42" r="M611">
        <v>1.6</v>
      </c>
      <c s="42" r="N611">
        <v>0.012</v>
      </c>
      <c s="42" r="O611"/>
      <c s="42" r="P611">
        <f>IF((O611&gt;0),N611,0)</f>
        <v>0</v>
      </c>
      <c s="42" r="Q611"/>
    </row>
    <row r="612">
      <c t="s" s="42" r="A612">
        <v>35</v>
      </c>
      <c s="42" r="B612">
        <v>611</v>
      </c>
      <c s="21" r="C612">
        <v>16</v>
      </c>
      <c t="s" s="21" r="D612">
        <v>92</v>
      </c>
      <c t="s" s="42" r="E612">
        <v>36</v>
      </c>
      <c t="s" s="42" r="F612">
        <v>36</v>
      </c>
      <c t="str" s="30" r="G612">
        <f>HYPERLINK("http://sofifa.com/en/14w/p/n/14","Eng")</f>
        <v>Eng</v>
      </c>
      <c t="str" s="30" r="H612">
        <f>HYPERLINK("http://sofifa.com/en/14w/p/144779-garry-monk","G. Monk")</f>
        <v>G. Monk</v>
      </c>
      <c s="21" r="I612">
        <v>68</v>
      </c>
      <c t="s" s="21" r="J612">
        <v>75</v>
      </c>
      <c t="s" s="21" r="K612">
        <v>89</v>
      </c>
      <c s="21" r="L612">
        <v>34</v>
      </c>
      <c s="42" r="M612">
        <v>1</v>
      </c>
      <c s="42" r="N612">
        <v>0.008</v>
      </c>
      <c s="42" r="O612"/>
      <c s="42" r="P612">
        <f>IF((O612&gt;0),N612,0)</f>
        <v>0</v>
      </c>
      <c s="42" r="Q612"/>
    </row>
    <row r="613">
      <c t="s" s="42" r="A613">
        <v>35</v>
      </c>
      <c s="42" r="B613">
        <v>612</v>
      </c>
      <c s="21" r="C613">
        <v>7</v>
      </c>
      <c t="s" s="21" r="D613">
        <v>92</v>
      </c>
      <c t="s" s="42" r="E613">
        <v>36</v>
      </c>
      <c t="s" s="42" r="F613">
        <v>36</v>
      </c>
      <c t="str" s="30" r="G613">
        <f>HYPERLINK("http://sofifa.com/en/14w/p/n/14","Eng")</f>
        <v>Eng</v>
      </c>
      <c t="str" s="30" r="H613">
        <f>HYPERLINK("http://sofifa.com/en/14w/p/146069-leon-britton","L. Britton")</f>
        <v>L. Britton</v>
      </c>
      <c s="21" r="I613">
        <v>76</v>
      </c>
      <c t="s" s="21" r="J613">
        <v>81</v>
      </c>
      <c t="s" s="21" r="K613">
        <v>93</v>
      </c>
      <c s="21" r="L613">
        <v>30</v>
      </c>
      <c s="42" r="M613">
        <v>4.1</v>
      </c>
      <c s="42" r="N613">
        <v>0.017</v>
      </c>
      <c s="42" r="O613"/>
      <c s="42" r="P613">
        <f>IF((O613&gt;0),N613,0)</f>
        <v>0</v>
      </c>
      <c s="42" r="Q613"/>
    </row>
    <row r="614">
      <c t="s" s="42" r="A614">
        <v>35</v>
      </c>
      <c s="42" r="B614">
        <v>613</v>
      </c>
      <c s="21" r="C614">
        <v>22</v>
      </c>
      <c t="s" s="21" r="D614">
        <v>92</v>
      </c>
      <c t="s" s="42" r="E614">
        <v>36</v>
      </c>
      <c t="s" s="42" r="F614">
        <v>36</v>
      </c>
      <c t="str" s="30" r="G614">
        <f>HYPERLINK("http://sofifa.com/en/14w/p/n/45","Spa")</f>
        <v>Spa</v>
      </c>
      <c t="str" s="30" r="H614">
        <f>HYPERLINK("http://sofifa.com/en/14w/p/146111-angel-rangel-zaragoza","Àngel Rangel")</f>
        <v>Àngel Rangel</v>
      </c>
      <c s="21" r="I614">
        <v>76</v>
      </c>
      <c t="s" s="21" r="J614">
        <v>72</v>
      </c>
      <c t="s" s="21" r="K614">
        <v>73</v>
      </c>
      <c s="21" r="L614">
        <v>30</v>
      </c>
      <c s="42" r="M614">
        <v>3.9</v>
      </c>
      <c s="42" r="N614">
        <v>0.017</v>
      </c>
      <c s="42" r="O614"/>
      <c s="42" r="P614">
        <f>IF((O614&gt;0),N614,0)</f>
        <v>0</v>
      </c>
      <c s="42" r="Q614"/>
    </row>
    <row r="615">
      <c t="s" s="42" r="A615">
        <v>35</v>
      </c>
      <c s="42" r="B615">
        <v>614</v>
      </c>
      <c s="21" r="C615">
        <v>24</v>
      </c>
      <c t="s" s="21" r="D615">
        <v>92</v>
      </c>
      <c t="s" s="42" r="E615">
        <v>36</v>
      </c>
      <c t="s" s="42" r="F615">
        <v>36</v>
      </c>
      <c t="str" s="30" r="G615">
        <f>HYPERLINK("http://sofifa.com/en/14w/p/n/45","Spa")</f>
        <v>Spa</v>
      </c>
      <c t="str" s="30" r="H615">
        <f>HYPERLINK("http://sofifa.com/en/14w/p/149360-alejandro-pozuelo-melero","Pozuelo")</f>
        <v>Pozuelo</v>
      </c>
      <c s="21" r="I615">
        <v>69</v>
      </c>
      <c t="s" s="21" r="J615">
        <v>88</v>
      </c>
      <c t="s" s="21" r="K615">
        <v>106</v>
      </c>
      <c s="21" r="L615">
        <v>21</v>
      </c>
      <c s="42" r="M615">
        <v>2.2</v>
      </c>
      <c s="42" r="N615">
        <v>0.006</v>
      </c>
      <c s="42" r="O615"/>
      <c s="42" r="P615">
        <f>IF((O615&gt;0),N615,0)</f>
        <v>0</v>
      </c>
      <c s="42" r="Q615"/>
    </row>
    <row r="616">
      <c t="s" s="42" r="A616">
        <v>35</v>
      </c>
      <c s="42" r="B616">
        <v>615</v>
      </c>
      <c s="21" r="C616">
        <v>14</v>
      </c>
      <c t="s" s="21" r="D616">
        <v>92</v>
      </c>
      <c t="s" s="42" r="E616">
        <v>36</v>
      </c>
      <c t="s" s="42" r="F616">
        <v>36</v>
      </c>
      <c t="str" s="30" r="G616">
        <f>HYPERLINK("http://sofifa.com/en/14w/p/n/7","Bel")</f>
        <v>Bel</v>
      </c>
      <c t="str" s="30" r="H616">
        <f>HYPERLINK("http://sofifa.com/en/14w/p/148001-roland-lamah","R. Lamah")</f>
        <v>R. Lamah</v>
      </c>
      <c s="21" r="I616">
        <v>74</v>
      </c>
      <c t="s" s="21" r="J616">
        <v>87</v>
      </c>
      <c t="s" s="21" r="K616">
        <v>79</v>
      </c>
      <c s="21" r="L616">
        <v>25</v>
      </c>
      <c s="42" r="M616">
        <v>3.5</v>
      </c>
      <c s="42" r="N616">
        <v>0.011</v>
      </c>
      <c s="42" r="O616"/>
      <c s="42" r="P616">
        <f>IF((O616&gt;0),N616,0)</f>
        <v>0</v>
      </c>
      <c s="42" r="Q616"/>
    </row>
    <row r="617">
      <c t="s" s="42" r="A617">
        <v>35</v>
      </c>
      <c s="42" r="B617">
        <v>616</v>
      </c>
      <c s="21" r="C617">
        <v>6</v>
      </c>
      <c t="s" s="21" r="D617">
        <v>92</v>
      </c>
      <c t="s" s="42" r="E617">
        <v>36</v>
      </c>
      <c t="s" s="42" r="F617">
        <v>36</v>
      </c>
      <c t="str" s="30" r="G617">
        <f>HYPERLINK("http://sofifa.com/en/14w/p/n/50","Wal")</f>
        <v>Wal</v>
      </c>
      <c t="str" s="30" r="H617">
        <f>HYPERLINK("http://sofifa.com/en/14w/p/146776-ashley-williams","A. Williams")</f>
        <v>A. Williams</v>
      </c>
      <c s="21" r="I617">
        <v>79</v>
      </c>
      <c t="s" s="21" r="J617">
        <v>75</v>
      </c>
      <c t="s" s="21" r="K617">
        <v>89</v>
      </c>
      <c s="21" r="L617">
        <v>28</v>
      </c>
      <c s="42" r="M617">
        <v>6.8</v>
      </c>
      <c s="42" r="N617">
        <v>0.023</v>
      </c>
      <c s="42" r="O617"/>
      <c s="42" r="P617">
        <f>IF((O617&gt;0),N617,0)</f>
        <v>0</v>
      </c>
      <c s="42" r="Q617"/>
    </row>
    <row r="618">
      <c t="s" s="42" r="A618">
        <v>35</v>
      </c>
      <c s="42" r="B618">
        <v>617</v>
      </c>
      <c s="21" r="C618">
        <v>3</v>
      </c>
      <c t="s" s="21" r="D618">
        <v>92</v>
      </c>
      <c t="s" s="42" r="E618">
        <v>36</v>
      </c>
      <c t="s" s="42" r="F618">
        <v>36</v>
      </c>
      <c t="str" s="30" r="G618">
        <f>HYPERLINK("http://sofifa.com/en/14w/p/n/50","Wal")</f>
        <v>Wal</v>
      </c>
      <c t="str" s="30" r="H618">
        <f>HYPERLINK("http://sofifa.com/en/14w/p/148405-neil-taylor","N. Taylor")</f>
        <v>N. Taylor</v>
      </c>
      <c s="21" r="I618">
        <v>72</v>
      </c>
      <c t="s" s="21" r="J618">
        <v>78</v>
      </c>
      <c t="s" s="21" r="K618">
        <v>94</v>
      </c>
      <c s="21" r="L618">
        <v>24</v>
      </c>
      <c s="42" r="M618">
        <v>2.5</v>
      </c>
      <c s="42" r="N618">
        <v>0.009</v>
      </c>
      <c s="42" r="O618"/>
      <c s="42" r="P618">
        <f>IF((O618&gt;0),N618,0)</f>
        <v>0</v>
      </c>
      <c s="42" r="Q618"/>
    </row>
    <row r="619">
      <c t="s" s="42" r="A619">
        <v>35</v>
      </c>
      <c s="42" r="B619">
        <v>618</v>
      </c>
      <c s="21" r="C619">
        <v>36</v>
      </c>
      <c t="s" s="21" r="D619">
        <v>97</v>
      </c>
      <c t="s" s="42" r="E619">
        <v>36</v>
      </c>
      <c t="s" s="42" r="F619">
        <v>36</v>
      </c>
      <c t="str" s="30" r="G619">
        <f>HYPERLINK("http://sofifa.com/en/14w/p/n/50","Wal")</f>
        <v>Wal</v>
      </c>
      <c t="str" s="30" r="H619">
        <f>HYPERLINK("http://sofifa.com/en/14w/p/150329-james-loveridge","J. Loveridge")</f>
        <v>J. Loveridge</v>
      </c>
      <c s="21" r="I619">
        <v>59</v>
      </c>
      <c t="s" s="21" r="J619">
        <v>90</v>
      </c>
      <c t="s" s="21" r="K619">
        <v>99</v>
      </c>
      <c s="21" r="L619">
        <v>19</v>
      </c>
      <c s="42" r="M619">
        <v>0.5</v>
      </c>
      <c s="42" r="N619">
        <v>0.002</v>
      </c>
      <c s="42" r="O619"/>
      <c s="42" r="P619">
        <f>IF((O619&gt;0),N619,0)</f>
        <v>0</v>
      </c>
      <c s="42" r="Q619"/>
    </row>
    <row r="620">
      <c t="s" s="42" r="A620">
        <v>35</v>
      </c>
      <c s="42" r="B620">
        <v>619</v>
      </c>
      <c s="21" r="C620">
        <v>41</v>
      </c>
      <c t="s" s="21" r="D620">
        <v>97</v>
      </c>
      <c t="s" s="42" r="E620">
        <v>36</v>
      </c>
      <c t="s" s="42" r="F620">
        <v>36</v>
      </c>
      <c t="str" s="30" r="G620">
        <f>HYPERLINK("http://sofifa.com/en/14w/p/n/35","Nor")</f>
        <v>Nor</v>
      </c>
      <c t="str" s="30" r="H620">
        <f>HYPERLINK("http://sofifa.com/en/14w/p/149511-rory-donnelly","R. Donnelly")</f>
        <v>R. Donnelly</v>
      </c>
      <c s="21" r="I620">
        <v>66</v>
      </c>
      <c t="s" s="21" r="J620">
        <v>90</v>
      </c>
      <c t="s" s="21" r="K620">
        <v>99</v>
      </c>
      <c s="21" r="L620">
        <v>21</v>
      </c>
      <c s="42" r="M620">
        <v>1.5</v>
      </c>
      <c s="42" r="N620">
        <v>0.005</v>
      </c>
      <c s="42" r="O620"/>
      <c s="42" r="P620">
        <f>IF((O620&gt;0),N620,0)</f>
        <v>0</v>
      </c>
      <c s="42" r="Q620"/>
    </row>
    <row r="621">
      <c t="s" s="42" r="A621">
        <v>35</v>
      </c>
      <c s="42" r="B621">
        <v>620</v>
      </c>
      <c s="21" r="C621">
        <v>46</v>
      </c>
      <c t="s" s="21" r="D621">
        <v>97</v>
      </c>
      <c t="s" s="42" r="E621">
        <v>36</v>
      </c>
      <c t="s" s="42" r="F621">
        <v>36</v>
      </c>
      <c t="str" s="30" r="G621">
        <f>HYPERLINK("http://sofifa.com/en/14w/p/n/34","Net")</f>
        <v>Net</v>
      </c>
      <c t="str" s="30" r="H621">
        <f>HYPERLINK("http://sofifa.com/en/14w/p/150465-kenji-gorre","K. Gorré")</f>
        <v>K. Gorré</v>
      </c>
      <c s="21" r="I621">
        <v>62</v>
      </c>
      <c t="s" s="21" r="J621">
        <v>96</v>
      </c>
      <c t="s" s="21" r="K621">
        <v>82</v>
      </c>
      <c s="21" r="L621">
        <v>18</v>
      </c>
      <c s="42" r="M621">
        <v>0.9</v>
      </c>
      <c s="42" r="N621">
        <v>0.003</v>
      </c>
      <c s="42" r="O621"/>
      <c s="42" r="P621">
        <f>IF((O621&gt;0),N621,0)</f>
        <v>0</v>
      </c>
      <c s="42" r="Q621"/>
    </row>
    <row r="622">
      <c t="s" s="42" r="A622">
        <v>35</v>
      </c>
      <c s="42" r="B622">
        <v>621</v>
      </c>
      <c s="21" r="C622">
        <v>43</v>
      </c>
      <c t="s" s="21" r="D622">
        <v>97</v>
      </c>
      <c t="s" s="42" r="E622">
        <v>36</v>
      </c>
      <c t="s" s="42" r="F622">
        <v>36</v>
      </c>
      <c t="str" s="30" r="G622">
        <f>HYPERLINK("http://sofifa.com/en/14w/p/n/14","Eng")</f>
        <v>Eng</v>
      </c>
      <c t="str" s="30" r="H622">
        <f>HYPERLINK("http://sofifa.com/en/14w/p/150764-alex-bray","A. Bray")</f>
        <v>A. Bray</v>
      </c>
      <c s="21" r="I622">
        <v>59</v>
      </c>
      <c t="s" s="21" r="J622">
        <v>85</v>
      </c>
      <c t="s" s="21" r="K622">
        <v>82</v>
      </c>
      <c s="21" r="L622">
        <v>17</v>
      </c>
      <c s="42" r="M622">
        <v>0.5</v>
      </c>
      <c s="42" r="N622">
        <v>0.002</v>
      </c>
      <c s="42" r="O622"/>
      <c s="42" r="P622">
        <f>IF((O622&gt;0),N622,0)</f>
        <v>0</v>
      </c>
      <c s="42" r="Q622"/>
    </row>
    <row r="623">
      <c t="s" s="42" r="A623">
        <v>35</v>
      </c>
      <c s="42" r="B623">
        <v>622</v>
      </c>
      <c s="21" r="C623">
        <v>48</v>
      </c>
      <c t="s" s="21" r="D623">
        <v>97</v>
      </c>
      <c t="s" s="42" r="E623">
        <v>36</v>
      </c>
      <c t="s" s="42" r="F623">
        <v>36</v>
      </c>
      <c t="str" s="30" r="G623">
        <f>HYPERLINK("http://sofifa.com/en/14w/p/n/14","Eng")</f>
        <v>Eng</v>
      </c>
      <c t="str" s="30" r="H623">
        <f>HYPERLINK("http://sofifa.com/en/14w/p/149761-jernade-meade","J. Meade")</f>
        <v>J. Meade</v>
      </c>
      <c s="21" r="I623">
        <v>59</v>
      </c>
      <c t="s" s="21" r="J623">
        <v>78</v>
      </c>
      <c t="s" s="21" r="K623">
        <v>112</v>
      </c>
      <c s="21" r="L623">
        <v>20</v>
      </c>
      <c s="42" r="M623">
        <v>0.4</v>
      </c>
      <c s="42" r="N623">
        <v>0.002</v>
      </c>
      <c s="42" r="O623"/>
      <c s="42" r="P623">
        <f>IF((O623&gt;0),N623,0)</f>
        <v>0</v>
      </c>
      <c s="42" r="Q623"/>
    </row>
    <row r="624">
      <c t="s" s="42" r="A624">
        <v>35</v>
      </c>
      <c s="42" r="B624">
        <v>623</v>
      </c>
      <c s="21" r="C624">
        <v>31</v>
      </c>
      <c t="s" s="21" r="D624">
        <v>97</v>
      </c>
      <c t="s" s="42" r="E624">
        <v>36</v>
      </c>
      <c t="s" s="42" r="F624">
        <v>36</v>
      </c>
      <c t="str" s="30" r="G624">
        <f>HYPERLINK("http://sofifa.com/en/14w/p/n/50","Wal")</f>
        <v>Wal</v>
      </c>
      <c t="str" s="30" r="H624">
        <f>HYPERLINK("http://sofifa.com/en/14w/p/149624-lee-lucas","L. Lucas")</f>
        <v>L. Lucas</v>
      </c>
      <c s="21" r="I624">
        <v>58</v>
      </c>
      <c t="s" s="21" r="J624">
        <v>81</v>
      </c>
      <c t="s" s="21" r="K624">
        <v>82</v>
      </c>
      <c s="21" r="L624">
        <v>21</v>
      </c>
      <c s="42" r="M624">
        <v>0.3</v>
      </c>
      <c s="42" r="N624">
        <v>0.002</v>
      </c>
      <c s="42" r="O624"/>
      <c s="42" r="P624">
        <f>IF((O624&gt;0),N624,0)</f>
        <v>0</v>
      </c>
      <c s="42" r="Q624"/>
    </row>
    <row r="625">
      <c t="s" s="42" r="A625">
        <v>35</v>
      </c>
      <c s="42" r="B625">
        <v>624</v>
      </c>
      <c s="21" r="C625">
        <v>23</v>
      </c>
      <c t="s" s="21" r="D625">
        <v>97</v>
      </c>
      <c t="s" s="42" r="E625">
        <v>36</v>
      </c>
      <c t="s" s="42" r="F625">
        <v>36</v>
      </c>
      <c t="str" s="30" r="G625">
        <f>HYPERLINK("http://sofifa.com/en/14w/p/n/18","Fra")</f>
        <v>Fra</v>
      </c>
      <c t="str" s="30" r="H625">
        <f>HYPERLINK("http://sofifa.com/en/14w/p/149540-darnel-situ","D. Situ")</f>
        <v>D. Situ</v>
      </c>
      <c s="21" r="I625">
        <v>61</v>
      </c>
      <c t="s" s="21" r="J625">
        <v>75</v>
      </c>
      <c t="s" s="21" r="K625">
        <v>99</v>
      </c>
      <c s="21" r="L625">
        <v>21</v>
      </c>
      <c s="42" r="M625">
        <v>0.6</v>
      </c>
      <c s="42" r="N625">
        <v>0.003</v>
      </c>
      <c s="42" r="O625"/>
      <c s="42" r="P625">
        <f>IF((O625&gt;0),N625,0)</f>
        <v>0</v>
      </c>
      <c s="42" r="Q625"/>
    </row>
    <row r="626">
      <c t="s" s="42" r="A626">
        <v>35</v>
      </c>
      <c s="42" r="B626">
        <v>625</v>
      </c>
      <c s="21" r="C626">
        <v>28</v>
      </c>
      <c t="s" s="21" r="D626">
        <v>97</v>
      </c>
      <c t="s" s="42" r="E626">
        <v>36</v>
      </c>
      <c t="s" s="42" r="F626">
        <v>36</v>
      </c>
      <c t="str" s="30" r="G626">
        <f>HYPERLINK("http://sofifa.com/en/14w/p/n/14","Eng")</f>
        <v>Eng</v>
      </c>
      <c t="str" s="30" r="H626">
        <f>HYPERLINK("http://sofifa.com/en/14w/p/148412-curtis-obeng","C. Obeng")</f>
        <v>C. Obeng</v>
      </c>
      <c s="21" r="I626">
        <v>60</v>
      </c>
      <c t="s" s="21" r="J626">
        <v>72</v>
      </c>
      <c t="s" s="21" r="K626">
        <v>86</v>
      </c>
      <c s="21" r="L626">
        <v>24</v>
      </c>
      <c s="42" r="M626">
        <v>0.5</v>
      </c>
      <c s="42" r="N626">
        <v>0.003</v>
      </c>
      <c s="42" r="O626"/>
      <c s="42" r="P626">
        <f>IF((O626&gt;0),N626,0)</f>
        <v>0</v>
      </c>
      <c s="42" r="Q626"/>
    </row>
    <row r="627">
      <c t="s" s="42" r="A627">
        <v>35</v>
      </c>
      <c s="42" r="B627">
        <v>626</v>
      </c>
      <c s="21" r="C627">
        <v>18</v>
      </c>
      <c t="s" s="21" r="D627">
        <v>97</v>
      </c>
      <c t="s" s="42" r="E627">
        <v>36</v>
      </c>
      <c t="s" s="42" r="F627">
        <v>36</v>
      </c>
      <c t="str" s="30" r="G627">
        <f>HYPERLINK("http://sofifa.com/en/14w/p/n/14","Eng")</f>
        <v>Eng</v>
      </c>
      <c t="str" s="30" r="H627">
        <f>HYPERLINK("http://sofifa.com/en/14w/p/146903-leroy-lita","L. Lita")</f>
        <v>L. Lita</v>
      </c>
      <c s="21" r="I627">
        <v>67</v>
      </c>
      <c t="s" s="21" r="J627">
        <v>90</v>
      </c>
      <c t="s" s="21" r="K627">
        <v>94</v>
      </c>
      <c s="21" r="L627">
        <v>28</v>
      </c>
      <c s="42" r="M627">
        <v>1.5</v>
      </c>
      <c s="42" r="N627">
        <v>0.006</v>
      </c>
      <c s="42" r="O627"/>
      <c s="42" r="P627">
        <f>IF((O627&gt;0),N627,0)</f>
        <v>0</v>
      </c>
      <c s="42" r="Q627"/>
    </row>
    <row r="628">
      <c t="s" s="42" r="A628">
        <v>35</v>
      </c>
      <c s="42" r="B628">
        <v>627</v>
      </c>
      <c s="21" r="C628">
        <v>45</v>
      </c>
      <c t="s" s="21" r="D628">
        <v>97</v>
      </c>
      <c t="s" s="42" r="E628">
        <v>36</v>
      </c>
      <c t="s" s="42" r="F628">
        <v>36</v>
      </c>
      <c t="str" s="30" r="G628">
        <f>HYPERLINK("http://sofifa.com/en/14w/p/n/44","Slo")</f>
        <v>Slo</v>
      </c>
      <c t="str" s="30" r="H628">
        <f>HYPERLINK("http://sofifa.com/en/14w/p/150788-gregor-zabret","G. Zabret")</f>
        <v>G. Zabret</v>
      </c>
      <c s="21" r="I628">
        <v>61</v>
      </c>
      <c t="s" s="21" r="J628">
        <v>70</v>
      </c>
      <c t="s" s="21" r="K628">
        <v>99</v>
      </c>
      <c s="21" r="L628">
        <v>17</v>
      </c>
      <c s="42" r="M628">
        <v>0.6</v>
      </c>
      <c s="42" r="N628">
        <v>0.003</v>
      </c>
      <c s="42" r="O628"/>
      <c s="42" r="P628">
        <f>IF((O628&gt;0),N628,0)</f>
        <v>0</v>
      </c>
      <c s="42" r="Q628"/>
    </row>
    <row r="629">
      <c t="s" s="42" r="A629">
        <v>51</v>
      </c>
      <c s="42" r="B629">
        <v>628</v>
      </c>
      <c s="21" r="C629">
        <v>1</v>
      </c>
      <c t="s" s="21" r="D629">
        <v>70</v>
      </c>
      <c t="s" s="42" r="E629">
        <v>52</v>
      </c>
      <c t="s" s="42" r="F629">
        <v>52</v>
      </c>
      <c t="str" s="30" r="G629">
        <f>HYPERLINK("http://sofifa.com/en/14w/p/n/42","Sco")</f>
        <v>Sco</v>
      </c>
      <c t="str" s="30" r="H629">
        <f>HYPERLINK("http://sofifa.com/en/14w/p/146970-david-marshall","D. Marshall")</f>
        <v>D. Marshall</v>
      </c>
      <c s="21" r="I629">
        <v>73</v>
      </c>
      <c t="s" s="21" r="J629">
        <v>70</v>
      </c>
      <c t="s" s="21" r="K629">
        <v>95</v>
      </c>
      <c s="21" r="L629">
        <v>28</v>
      </c>
      <c s="42" r="M629">
        <v>2.4</v>
      </c>
      <c s="42" r="N629">
        <v>0.01</v>
      </c>
      <c s="42" r="O629"/>
      <c s="42" r="P629">
        <f>IF((O629&gt;0),N629,0)</f>
        <v>0</v>
      </c>
      <c s="42" r="Q629"/>
    </row>
    <row r="630">
      <c t="s" s="42" r="A630">
        <v>51</v>
      </c>
      <c s="42" r="B630">
        <v>629</v>
      </c>
      <c s="21" r="C630">
        <v>28</v>
      </c>
      <c t="s" s="21" r="D630">
        <v>72</v>
      </c>
      <c t="s" s="42" r="E630">
        <v>52</v>
      </c>
      <c t="s" s="42" r="F630">
        <v>52</v>
      </c>
      <c t="str" s="30" r="G630">
        <f>HYPERLINK("http://sofifa.com/en/14w/p/n/18","Fra")</f>
        <v>Fra</v>
      </c>
      <c t="str" s="30" r="H630">
        <f>HYPERLINK("http://sofifa.com/en/14w/p/148668-kevin-theophile-catherine","K. Théophile-Catherine")</f>
        <v>K. Théophile-Catherine</v>
      </c>
      <c s="21" r="I630">
        <v>74</v>
      </c>
      <c t="s" s="21" r="J630">
        <v>72</v>
      </c>
      <c t="s" s="21" r="K630">
        <v>79</v>
      </c>
      <c s="21" r="L630">
        <v>23</v>
      </c>
      <c s="42" r="M630">
        <v>3.3</v>
      </c>
      <c s="42" r="N630">
        <v>0.01</v>
      </c>
      <c s="42" r="O630"/>
      <c s="42" r="P630">
        <f>IF((O630&gt;0),N630,0)</f>
        <v>0</v>
      </c>
      <c s="42" r="Q630"/>
    </row>
    <row r="631">
      <c t="s" s="42" r="A631">
        <v>51</v>
      </c>
      <c s="42" r="B631">
        <v>630</v>
      </c>
      <c s="21" r="C631">
        <v>4</v>
      </c>
      <c t="s" s="21" r="D631">
        <v>74</v>
      </c>
      <c t="s" s="42" r="E631">
        <v>52</v>
      </c>
      <c t="s" s="42" r="F631">
        <v>52</v>
      </c>
      <c t="str" s="30" r="G631">
        <f>HYPERLINK("http://sofifa.com/en/14w/p/n/14","Eng")</f>
        <v>Eng</v>
      </c>
      <c t="str" s="30" r="H631">
        <f>HYPERLINK("http://sofifa.com/en/14w/p/149460-steven-caulker","S. Caulker")</f>
        <v>S. Caulker</v>
      </c>
      <c s="21" r="I631">
        <v>74</v>
      </c>
      <c t="s" s="21" r="J631">
        <v>75</v>
      </c>
      <c t="s" s="21" r="K631">
        <v>95</v>
      </c>
      <c s="21" r="L631">
        <v>21</v>
      </c>
      <c s="42" r="M631">
        <v>3.7</v>
      </c>
      <c s="42" r="N631">
        <v>0.009</v>
      </c>
      <c s="42" r="O631"/>
      <c s="42" r="P631">
        <f>IF((O631&gt;0),N631,0)</f>
        <v>0</v>
      </c>
      <c s="42" r="Q631"/>
    </row>
    <row r="632">
      <c t="s" s="42" r="A632">
        <v>51</v>
      </c>
      <c s="42" r="B632">
        <v>631</v>
      </c>
      <c s="21" r="C632">
        <v>6</v>
      </c>
      <c t="s" s="21" r="D632">
        <v>77</v>
      </c>
      <c t="s" s="42" r="E632">
        <v>52</v>
      </c>
      <c t="s" s="42" r="F632">
        <v>52</v>
      </c>
      <c t="str" s="30" r="G632">
        <f>HYPERLINK("http://sofifa.com/en/14w/p/n/14","Eng")</f>
        <v>Eng</v>
      </c>
      <c t="str" s="30" r="H632">
        <f>HYPERLINK("http://sofifa.com/en/14w/p/148235-ben-turner","B. Turner")</f>
        <v>B. Turner</v>
      </c>
      <c s="21" r="I632">
        <v>71</v>
      </c>
      <c t="s" s="21" r="J632">
        <v>75</v>
      </c>
      <c t="s" s="21" r="K632">
        <v>91</v>
      </c>
      <c s="21" r="L632">
        <v>24</v>
      </c>
      <c s="42" r="M632">
        <v>2.2</v>
      </c>
      <c s="42" r="N632">
        <v>0.008</v>
      </c>
      <c s="42" r="O632"/>
      <c s="42" r="P632">
        <f>IF((O632&gt;0),N632,0)</f>
        <v>0</v>
      </c>
      <c s="42" r="Q632"/>
    </row>
    <row r="633">
      <c t="s" s="42" r="A633">
        <v>51</v>
      </c>
      <c s="42" r="B633">
        <v>632</v>
      </c>
      <c s="21" r="C633">
        <v>3</v>
      </c>
      <c t="s" s="21" r="D633">
        <v>78</v>
      </c>
      <c t="s" s="42" r="E633">
        <v>52</v>
      </c>
      <c t="s" s="42" r="F633">
        <v>52</v>
      </c>
      <c t="str" s="30" r="G633">
        <f>HYPERLINK("http://sofifa.com/en/14w/p/n/14","Eng")</f>
        <v>Eng</v>
      </c>
      <c t="str" s="30" r="H633">
        <f>HYPERLINK("http://sofifa.com/en/14w/p/147484-andrew-taylor","A. Taylor")</f>
        <v>A. Taylor</v>
      </c>
      <c s="21" r="I633">
        <v>69</v>
      </c>
      <c t="s" s="21" r="J633">
        <v>78</v>
      </c>
      <c t="s" s="21" r="K633">
        <v>82</v>
      </c>
      <c s="21" r="L633">
        <v>26</v>
      </c>
      <c s="42" r="M633">
        <v>1.6</v>
      </c>
      <c s="42" r="N633">
        <v>0.007</v>
      </c>
      <c s="42" r="O633"/>
      <c s="42" r="P633">
        <f>IF((O633&gt;0),N633,0)</f>
        <v>0</v>
      </c>
      <c s="42" r="Q633"/>
    </row>
    <row r="634">
      <c t="s" s="42" r="A634">
        <v>51</v>
      </c>
      <c s="42" r="B634">
        <v>633</v>
      </c>
      <c s="21" r="C634">
        <v>17</v>
      </c>
      <c t="s" s="21" r="D634">
        <v>80</v>
      </c>
      <c t="s" s="42" r="E634">
        <v>52</v>
      </c>
      <c t="s" s="42" r="F634">
        <v>52</v>
      </c>
      <c t="str" s="30" r="G634">
        <f>HYPERLINK("http://sofifa.com/en/14w/p/n/24","Ice")</f>
        <v>Ice</v>
      </c>
      <c t="str" s="30" r="H634">
        <f>HYPERLINK("http://sofifa.com/en/14w/p/148479-aron-gunnarsson","A. Gunnarsson")</f>
        <v>A. Gunnarsson</v>
      </c>
      <c s="21" r="I634">
        <v>70</v>
      </c>
      <c t="s" s="21" r="J634">
        <v>81</v>
      </c>
      <c t="s" s="21" r="K634">
        <v>82</v>
      </c>
      <c s="21" r="L634">
        <v>24</v>
      </c>
      <c s="42" r="M634">
        <v>1.9</v>
      </c>
      <c s="42" r="N634">
        <v>0.007</v>
      </c>
      <c s="42" r="O634"/>
      <c s="42" r="P634">
        <f>IF((O634&gt;0),N634,0)</f>
        <v>0</v>
      </c>
      <c s="42" r="Q634"/>
    </row>
    <row r="635">
      <c t="s" s="42" r="A635">
        <v>51</v>
      </c>
      <c s="42" r="B635">
        <v>634</v>
      </c>
      <c s="21" r="C635">
        <v>8</v>
      </c>
      <c t="s" s="21" r="D635">
        <v>83</v>
      </c>
      <c t="s" s="42" r="E635">
        <v>52</v>
      </c>
      <c t="s" s="42" r="F635">
        <v>52</v>
      </c>
      <c t="str" s="30" r="G635">
        <f>HYPERLINK("http://sofifa.com/en/14w/p/n/55","Chi")</f>
        <v>Chi</v>
      </c>
      <c t="str" s="30" r="H635">
        <f>HYPERLINK("http://sofifa.com/en/14w/p/147851-gary-medel","G. Medel")</f>
        <v>G. Medel</v>
      </c>
      <c s="21" r="I635">
        <v>74</v>
      </c>
      <c t="s" s="21" r="J635">
        <v>81</v>
      </c>
      <c t="s" s="21" r="K635">
        <v>86</v>
      </c>
      <c s="21" r="L635">
        <v>25</v>
      </c>
      <c s="42" r="M635">
        <v>3.6</v>
      </c>
      <c s="42" r="N635">
        <v>0.011</v>
      </c>
      <c s="42" r="O635"/>
      <c s="42" r="P635">
        <f>IF((O635&gt;0),N635,0)</f>
        <v>0</v>
      </c>
      <c s="42" r="Q635"/>
    </row>
    <row r="636">
      <c t="s" s="42" r="A636">
        <v>51</v>
      </c>
      <c s="42" r="B636">
        <v>635</v>
      </c>
      <c s="21" r="C636">
        <v>11</v>
      </c>
      <c t="s" s="21" r="D636">
        <v>84</v>
      </c>
      <c t="s" s="42" r="E636">
        <v>52</v>
      </c>
      <c t="s" s="42" r="F636">
        <v>52</v>
      </c>
      <c t="str" s="30" r="G636">
        <f>HYPERLINK("http://sofifa.com/en/14w/p/n/133","Nig")</f>
        <v>Nig</v>
      </c>
      <c t="str" s="30" r="H636">
        <f>HYPERLINK("http://sofifa.com/en/14w/p/145641-peter-odemwingie","P. Odemwingie")</f>
        <v>P. Odemwingie</v>
      </c>
      <c s="21" r="I636">
        <v>73</v>
      </c>
      <c t="s" s="21" r="J636">
        <v>84</v>
      </c>
      <c t="s" s="21" r="K636">
        <v>89</v>
      </c>
      <c s="21" r="L636">
        <v>31</v>
      </c>
      <c s="42" r="M636">
        <v>2.5</v>
      </c>
      <c s="42" r="N636">
        <v>0.011</v>
      </c>
      <c s="42" r="O636"/>
      <c s="42" r="P636">
        <f>IF((O636&gt;0),N636,0)</f>
        <v>0</v>
      </c>
      <c s="42" r="Q636"/>
    </row>
    <row r="637">
      <c t="s" s="42" r="A637">
        <v>51</v>
      </c>
      <c s="42" r="B637">
        <v>636</v>
      </c>
      <c s="21" r="C637">
        <v>7</v>
      </c>
      <c t="s" s="21" r="D637">
        <v>87</v>
      </c>
      <c t="s" s="42" r="E637">
        <v>52</v>
      </c>
      <c t="s" s="42" r="F637">
        <v>52</v>
      </c>
      <c t="str" s="30" r="G637">
        <f>HYPERLINK("http://sofifa.com/en/14w/p/n/14","Eng")</f>
        <v>Eng</v>
      </c>
      <c t="str" s="30" r="H637">
        <f>HYPERLINK("http://sofifa.com/en/14w/p/146792-peter-whittingham","P. Whittingham")</f>
        <v>P. Whittingham</v>
      </c>
      <c s="21" r="I637">
        <v>73</v>
      </c>
      <c t="s" s="21" r="J637">
        <v>87</v>
      </c>
      <c t="s" s="21" r="K637">
        <v>82</v>
      </c>
      <c s="21" r="L637">
        <v>28</v>
      </c>
      <c s="42" r="M637">
        <v>2.9</v>
      </c>
      <c s="42" r="N637">
        <v>0.01</v>
      </c>
      <c s="42" r="O637"/>
      <c s="42" r="P637">
        <f>IF((O637&gt;0),N637,0)</f>
        <v>0</v>
      </c>
      <c s="42" r="Q637"/>
    </row>
    <row r="638">
      <c t="s" s="42" r="A638">
        <v>51</v>
      </c>
      <c s="42" r="B638">
        <v>637</v>
      </c>
      <c s="21" r="C638">
        <v>13</v>
      </c>
      <c t="s" s="21" r="D638">
        <v>88</v>
      </c>
      <c t="s" s="42" r="E638">
        <v>52</v>
      </c>
      <c t="s" s="42" r="F638">
        <v>52</v>
      </c>
      <c t="str" s="30" r="G638">
        <f>HYPERLINK("http://sofifa.com/en/14w/p/n/167","Kor")</f>
        <v>Kor</v>
      </c>
      <c t="str" s="30" r="H638">
        <f>HYPERLINK("http://sofifa.com/en/14w/p/148646-bo-kyung-kim","B. Kim")</f>
        <v>B. Kim</v>
      </c>
      <c s="21" r="I638">
        <v>72</v>
      </c>
      <c t="s" s="21" r="J638">
        <v>88</v>
      </c>
      <c t="s" s="21" r="K638">
        <v>82</v>
      </c>
      <c s="21" r="L638">
        <v>23</v>
      </c>
      <c s="42" r="M638">
        <v>3.1</v>
      </c>
      <c s="42" r="N638">
        <v>0.008</v>
      </c>
      <c s="42" r="O638"/>
      <c s="42" r="P638">
        <f>IF((O638&gt;0),N638,0)</f>
        <v>0</v>
      </c>
      <c s="42" r="Q638"/>
    </row>
    <row r="639">
      <c t="s" s="42" r="A639">
        <v>51</v>
      </c>
      <c s="42" r="B639">
        <v>638</v>
      </c>
      <c s="21" r="C639">
        <v>10</v>
      </c>
      <c t="s" s="21" r="D639">
        <v>90</v>
      </c>
      <c t="s" s="42" r="E639">
        <v>52</v>
      </c>
      <c t="s" s="42" r="F639">
        <v>52</v>
      </c>
      <c t="str" s="30" r="G639">
        <f>HYPERLINK("http://sofifa.com/en/14w/p/n/14","Eng")</f>
        <v>Eng</v>
      </c>
      <c t="str" s="30" r="H639">
        <f>HYPERLINK("http://sofifa.com/en/14w/p/147892-fraizer-campbell","F. Campbell")</f>
        <v>F. Campbell</v>
      </c>
      <c s="21" r="I639">
        <v>74</v>
      </c>
      <c t="s" s="21" r="J639">
        <v>90</v>
      </c>
      <c t="s" s="21" r="K639">
        <v>86</v>
      </c>
      <c s="21" r="L639">
        <v>25</v>
      </c>
      <c s="42" r="M639">
        <v>4.1</v>
      </c>
      <c s="42" r="N639">
        <v>0.011</v>
      </c>
      <c s="42" r="O639"/>
      <c s="42" r="P639">
        <f>IF((O639&gt;0),N639,0)</f>
        <v>0</v>
      </c>
      <c s="42" r="Q639"/>
    </row>
    <row r="640">
      <c t="s" s="42" r="A640">
        <v>51</v>
      </c>
      <c s="42" r="B640">
        <v>639</v>
      </c>
      <c s="21" r="C640">
        <v>20</v>
      </c>
      <c t="s" s="21" r="D640">
        <v>92</v>
      </c>
      <c t="s" s="42" r="E640">
        <v>52</v>
      </c>
      <c t="s" s="42" r="F640">
        <v>52</v>
      </c>
      <c t="str" s="30" r="G640">
        <f>HYPERLINK("http://sofifa.com/en/14w/p/n/25","Rep")</f>
        <v>Rep</v>
      </c>
      <c t="str" s="30" r="H640">
        <f>HYPERLINK("http://sofifa.com/en/14w/p/149230-joe-mason","J. Mason")</f>
        <v>J. Mason</v>
      </c>
      <c s="21" r="I640">
        <v>66</v>
      </c>
      <c t="s" s="21" r="J640">
        <v>90</v>
      </c>
      <c t="s" s="21" r="K640">
        <v>82</v>
      </c>
      <c s="21" r="L640">
        <v>22</v>
      </c>
      <c s="42" r="M640">
        <v>1.5</v>
      </c>
      <c s="42" r="N640">
        <v>0.005</v>
      </c>
      <c s="42" r="O640"/>
      <c s="42" r="P640">
        <f>IF((O640&gt;0),N640,0)</f>
        <v>0</v>
      </c>
      <c s="42" r="Q640"/>
    </row>
    <row r="641">
      <c t="s" s="42" r="A641">
        <v>51</v>
      </c>
      <c s="42" r="B641">
        <v>640</v>
      </c>
      <c s="21" r="C641">
        <v>9</v>
      </c>
      <c t="s" s="21" r="D641">
        <v>92</v>
      </c>
      <c t="s" s="42" r="E641">
        <v>52</v>
      </c>
      <c t="s" s="42" r="F641">
        <v>52</v>
      </c>
      <c t="str" s="30" r="G641">
        <f>HYPERLINK("http://sofifa.com/en/14w/p/n/13","Den")</f>
        <v>Den</v>
      </c>
      <c t="str" s="30" r="H641">
        <f>HYPERLINK("http://sofifa.com/en/14w/p/149903-andreas-cornelius","A. Cornelius")</f>
        <v>A. Cornelius</v>
      </c>
      <c s="21" r="I641">
        <v>71</v>
      </c>
      <c t="s" s="21" r="J641">
        <v>90</v>
      </c>
      <c t="s" s="21" r="K641">
        <v>91</v>
      </c>
      <c s="21" r="L641">
        <v>20</v>
      </c>
      <c s="42" r="M641">
        <v>3.2</v>
      </c>
      <c s="42" r="N641">
        <v>0.007</v>
      </c>
      <c s="42" r="O641"/>
      <c s="42" r="P641">
        <f>IF((O641&gt;0),N641,0)</f>
        <v>0</v>
      </c>
      <c s="42" r="Q641"/>
    </row>
    <row r="642">
      <c t="s" s="42" r="A642">
        <v>51</v>
      </c>
      <c s="42" r="B642">
        <v>641</v>
      </c>
      <c s="21" r="C642">
        <v>12</v>
      </c>
      <c t="s" s="21" r="D642">
        <v>92</v>
      </c>
      <c t="s" s="42" r="E642">
        <v>52</v>
      </c>
      <c t="s" s="42" r="F642">
        <v>52</v>
      </c>
      <c t="str" s="30" r="G642">
        <f>HYPERLINK("http://sofifa.com/en/14w/p/n/14","Eng")</f>
        <v>Eng</v>
      </c>
      <c t="str" s="30" r="H642">
        <f>HYPERLINK("http://sofifa.com/en/14w/p/147999-john-brayford","J. Brayford")</f>
        <v>J. Brayford</v>
      </c>
      <c s="21" r="I642">
        <v>70</v>
      </c>
      <c t="s" s="21" r="J642">
        <v>72</v>
      </c>
      <c t="s" s="21" r="K642">
        <v>86</v>
      </c>
      <c s="21" r="L642">
        <v>25</v>
      </c>
      <c s="42" r="M642">
        <v>1.7</v>
      </c>
      <c s="42" r="N642">
        <v>0.007</v>
      </c>
      <c s="42" r="O642"/>
      <c s="42" r="P642">
        <f>IF((O642&gt;0),N642,0)</f>
        <v>0</v>
      </c>
      <c s="42" r="Q642"/>
    </row>
    <row r="643">
      <c t="s" s="42" r="A643">
        <v>51</v>
      </c>
      <c s="42" r="B643">
        <v>642</v>
      </c>
      <c s="21" r="C643">
        <v>16</v>
      </c>
      <c t="s" s="21" r="D643">
        <v>92</v>
      </c>
      <c t="s" s="42" r="E643">
        <v>52</v>
      </c>
      <c t="s" s="42" r="F643">
        <v>52</v>
      </c>
      <c t="str" s="30" r="G643">
        <f>HYPERLINK("http://sofifa.com/en/14w/p/n/14","Eng")</f>
        <v>Eng</v>
      </c>
      <c t="str" s="30" r="H643">
        <f>HYPERLINK("http://sofifa.com/en/14w/p/147957-craig-noone","C. Noone")</f>
        <v>C. Noone</v>
      </c>
      <c s="21" r="I643">
        <v>71</v>
      </c>
      <c t="s" s="21" r="J643">
        <v>84</v>
      </c>
      <c t="s" s="21" r="K643">
        <v>82</v>
      </c>
      <c s="21" r="L643">
        <v>25</v>
      </c>
      <c s="42" r="M643">
        <v>2.3</v>
      </c>
      <c s="42" r="N643">
        <v>0.008</v>
      </c>
      <c s="42" r="O643"/>
      <c s="42" r="P643">
        <f>IF((O643&gt;0),N643,0)</f>
        <v>0</v>
      </c>
      <c s="42" r="Q643"/>
    </row>
    <row r="644">
      <c t="s" s="42" r="A644">
        <v>51</v>
      </c>
      <c s="42" r="B644">
        <v>643</v>
      </c>
      <c s="21" r="C644">
        <v>39</v>
      </c>
      <c t="s" s="21" r="D644">
        <v>92</v>
      </c>
      <c t="s" s="42" r="E644">
        <v>52</v>
      </c>
      <c t="s" s="42" r="F644">
        <v>52</v>
      </c>
      <c t="str" s="30" r="G644">
        <f>HYPERLINK("http://sofifa.com/en/14w/p/n/50","Wal")</f>
        <v>Wal</v>
      </c>
      <c t="str" s="30" r="H644">
        <f>HYPERLINK("http://sofifa.com/en/14w/p/144908-craig-bellamy","C. Bellamy")</f>
        <v>C. Bellamy</v>
      </c>
      <c s="21" r="I644">
        <v>74</v>
      </c>
      <c t="s" s="21" r="J644">
        <v>87</v>
      </c>
      <c t="s" s="21" r="K644">
        <v>94</v>
      </c>
      <c s="21" r="L644">
        <v>33</v>
      </c>
      <c s="42" r="M644">
        <v>2.5</v>
      </c>
      <c s="42" r="N644">
        <v>0.013</v>
      </c>
      <c s="42" r="O644"/>
      <c s="42" r="P644">
        <f>IF((O644&gt;0),N644,0)</f>
        <v>0</v>
      </c>
      <c s="42" r="Q644"/>
    </row>
    <row r="645">
      <c t="s" s="42" r="A645">
        <v>51</v>
      </c>
      <c s="42" r="B645">
        <v>644</v>
      </c>
      <c s="21" r="C645">
        <v>18</v>
      </c>
      <c t="s" s="21" r="D645">
        <v>92</v>
      </c>
      <c t="s" s="42" r="E645">
        <v>52</v>
      </c>
      <c t="s" s="42" r="F645">
        <v>52</v>
      </c>
      <c t="str" s="30" r="G645">
        <f>HYPERLINK("http://sofifa.com/en/14w/p/n/14","Eng")</f>
        <v>Eng</v>
      </c>
      <c t="str" s="30" r="H645">
        <f>HYPERLINK("http://sofifa.com/en/14w/p/149433-jordon-mutch","J. Mutch")</f>
        <v>J. Mutch</v>
      </c>
      <c s="21" r="I645">
        <v>70</v>
      </c>
      <c t="s" s="21" r="J645">
        <v>81</v>
      </c>
      <c t="s" s="21" r="K645">
        <v>99</v>
      </c>
      <c s="21" r="L645">
        <v>21</v>
      </c>
      <c s="42" r="M645">
        <v>2</v>
      </c>
      <c s="42" r="N645">
        <v>0.006</v>
      </c>
      <c s="42" r="O645"/>
      <c s="42" r="P645">
        <f>IF((O645&gt;0),N645,0)</f>
        <v>0</v>
      </c>
      <c s="42" r="Q645"/>
    </row>
    <row r="646">
      <c t="s" s="42" r="A646">
        <v>51</v>
      </c>
      <c s="42" r="B646">
        <v>645</v>
      </c>
      <c s="21" r="C646">
        <v>23</v>
      </c>
      <c t="s" s="21" r="D646">
        <v>92</v>
      </c>
      <c t="s" s="42" r="E646">
        <v>52</v>
      </c>
      <c t="s" s="42" r="F646">
        <v>52</v>
      </c>
      <c t="str" s="30" r="G646">
        <f>HYPERLINK("http://sofifa.com/en/14w/p/n/14","Eng")</f>
        <v>Eng</v>
      </c>
      <c t="str" s="30" r="H646">
        <f>HYPERLINK("http://sofifa.com/en/14w/p/147616-nicky-maynard","N. Maynard")</f>
        <v>N. Maynard</v>
      </c>
      <c s="21" r="I646">
        <v>71</v>
      </c>
      <c t="s" s="21" r="J646">
        <v>90</v>
      </c>
      <c t="s" s="21" r="K646">
        <v>79</v>
      </c>
      <c s="21" r="L646">
        <v>26</v>
      </c>
      <c s="42" r="M646">
        <v>2.6</v>
      </c>
      <c s="42" r="N646">
        <v>0.008</v>
      </c>
      <c s="42" r="O646"/>
      <c s="42" r="P646">
        <f>IF((O646&gt;0),N646,0)</f>
        <v>0</v>
      </c>
      <c s="42" r="Q646"/>
    </row>
    <row r="647">
      <c t="s" s="42" r="A647">
        <v>51</v>
      </c>
      <c s="42" r="B647">
        <v>646</v>
      </c>
      <c s="21" r="C647">
        <v>2</v>
      </c>
      <c t="s" s="21" r="D647">
        <v>92</v>
      </c>
      <c t="s" s="42" r="E647">
        <v>52</v>
      </c>
      <c t="s" s="42" r="F647">
        <v>52</v>
      </c>
      <c t="str" s="30" r="G647">
        <f>HYPERLINK("http://sofifa.com/en/14w/p/n/14","Eng")</f>
        <v>Eng</v>
      </c>
      <c t="str" s="30" r="H647">
        <f>HYPERLINK("http://sofifa.com/en/14w/p/147903-matthew-connolly","M. Connolly")</f>
        <v>M. Connolly</v>
      </c>
      <c s="21" r="I647">
        <v>66</v>
      </c>
      <c t="s" s="21" r="J647">
        <v>72</v>
      </c>
      <c t="s" s="21" r="K647">
        <v>99</v>
      </c>
      <c s="21" r="L647">
        <v>25</v>
      </c>
      <c s="42" r="M647">
        <v>1.1</v>
      </c>
      <c s="42" r="N647">
        <v>0.005</v>
      </c>
      <c s="42" r="O647"/>
      <c s="42" r="P647">
        <f>IF((O647&gt;0),N647,0)</f>
        <v>0</v>
      </c>
      <c s="42" r="Q647"/>
    </row>
    <row r="648">
      <c t="s" s="42" r="A648">
        <v>51</v>
      </c>
      <c s="42" r="B648">
        <v>647</v>
      </c>
      <c s="21" r="C648">
        <v>14</v>
      </c>
      <c t="s" s="21" r="D648">
        <v>92</v>
      </c>
      <c t="s" s="42" r="E648">
        <v>52</v>
      </c>
      <c t="s" s="42" r="F648">
        <v>52</v>
      </c>
      <c t="str" s="30" r="G648">
        <f>HYPERLINK("http://sofifa.com/en/14w/p/n/14","Eng")</f>
        <v>Eng</v>
      </c>
      <c t="str" s="30" r="H648">
        <f>HYPERLINK("http://sofifa.com/en/14w/p/145222-tommy-smith","T. Smith")</f>
        <v>T. Smith</v>
      </c>
      <c s="21" r="I648">
        <v>67</v>
      </c>
      <c t="s" s="21" r="J648">
        <v>84</v>
      </c>
      <c t="s" s="21" r="K648">
        <v>82</v>
      </c>
      <c s="21" r="L648">
        <v>33</v>
      </c>
      <c s="42" r="M648">
        <v>1</v>
      </c>
      <c s="42" r="N648">
        <v>0.007</v>
      </c>
      <c s="42" r="O648"/>
      <c s="42" r="P648">
        <f>IF((O648&gt;0),N648,0)</f>
        <v>0</v>
      </c>
      <c s="42" r="Q648"/>
    </row>
    <row r="649">
      <c t="s" s="42" r="A649">
        <v>51</v>
      </c>
      <c s="42" r="B649">
        <v>648</v>
      </c>
      <c s="21" r="C649">
        <v>32</v>
      </c>
      <c t="s" s="21" r="D649">
        <v>92</v>
      </c>
      <c t="s" s="42" r="E649">
        <v>52</v>
      </c>
      <c t="s" s="42" r="F649">
        <v>52</v>
      </c>
      <c t="str" s="30" r="G649">
        <f>HYPERLINK("http://sofifa.com/en/14w/p/n/14","Eng")</f>
        <v>Eng</v>
      </c>
      <c t="str" s="30" r="H649">
        <f>HYPERLINK("http://sofifa.com/en/14w/p/147915-joe-lewis","J. Lewis")</f>
        <v>J. Lewis</v>
      </c>
      <c s="21" r="I649">
        <v>66</v>
      </c>
      <c t="s" s="21" r="J649">
        <v>70</v>
      </c>
      <c t="s" s="21" r="K649">
        <v>76</v>
      </c>
      <c s="21" r="L649">
        <v>25</v>
      </c>
      <c s="42" r="M649">
        <v>1</v>
      </c>
      <c s="42" r="N649">
        <v>0.005</v>
      </c>
      <c s="42" r="O649"/>
      <c s="42" r="P649">
        <f>IF((O649&gt;0),N649,0)</f>
        <v>0</v>
      </c>
      <c s="42" r="Q649"/>
    </row>
    <row r="650">
      <c t="s" s="42" r="A650">
        <v>51</v>
      </c>
      <c s="42" r="B650">
        <v>649</v>
      </c>
      <c s="21" r="C650">
        <v>19</v>
      </c>
      <c t="s" s="21" r="D650">
        <v>92</v>
      </c>
      <c t="s" s="42" r="E650">
        <v>52</v>
      </c>
      <c t="s" s="42" r="F650">
        <v>52</v>
      </c>
      <c t="str" s="30" r="G650">
        <f>HYPERLINK("http://sofifa.com/en/14w/p/n/42","Sco")</f>
        <v>Sco</v>
      </c>
      <c t="str" s="30" r="H650">
        <f>HYPERLINK("http://sofifa.com/en/14w/p/146221-don-cowie","D. Cowie")</f>
        <v>D. Cowie</v>
      </c>
      <c s="21" r="I650">
        <v>68</v>
      </c>
      <c t="s" s="21" r="J650">
        <v>81</v>
      </c>
      <c t="s" s="21" r="K650">
        <v>82</v>
      </c>
      <c s="21" r="L650">
        <v>30</v>
      </c>
      <c s="42" r="M650">
        <v>1.3</v>
      </c>
      <c s="42" r="N650">
        <v>0.007</v>
      </c>
      <c s="42" r="O650"/>
      <c s="42" r="P650">
        <f>IF((O650&gt;0),N650,0)</f>
        <v>0</v>
      </c>
      <c s="42" r="Q650"/>
    </row>
    <row r="651">
      <c t="s" s="42" r="A651">
        <v>51</v>
      </c>
      <c s="42" r="B651">
        <v>650</v>
      </c>
      <c s="21" r="C651">
        <v>5</v>
      </c>
      <c t="s" s="21" r="D651">
        <v>92</v>
      </c>
      <c t="s" s="42" r="E651">
        <v>52</v>
      </c>
      <c t="s" s="42" r="F651">
        <v>52</v>
      </c>
      <c t="str" s="30" r="G651">
        <f>HYPERLINK("http://sofifa.com/en/14w/p/n/14","Eng")</f>
        <v>Eng</v>
      </c>
      <c t="str" s="30" r="H651">
        <f>HYPERLINK("http://sofifa.com/en/14w/p/145899-mark-hudson","M. Hudson")</f>
        <v>M. Hudson</v>
      </c>
      <c s="21" r="I651">
        <v>70</v>
      </c>
      <c t="s" s="21" r="J651">
        <v>75</v>
      </c>
      <c t="s" s="21" r="K651">
        <v>73</v>
      </c>
      <c s="21" r="L651">
        <v>31</v>
      </c>
      <c s="42" r="M651">
        <v>1.4</v>
      </c>
      <c s="42" r="N651">
        <v>0.008</v>
      </c>
      <c s="42" r="O651"/>
      <c s="42" r="P651">
        <f>IF((O651&gt;0),N651,0)</f>
        <v>0</v>
      </c>
      <c s="42" r="Q651"/>
    </row>
    <row r="652">
      <c t="s" s="42" r="A652">
        <v>51</v>
      </c>
      <c s="42" r="B652">
        <v>651</v>
      </c>
      <c s="21" r="C652">
        <v>15</v>
      </c>
      <c t="s" s="21" r="D652">
        <v>97</v>
      </c>
      <c t="s" s="42" r="E652">
        <v>52</v>
      </c>
      <c t="s" s="42" r="F652">
        <v>52</v>
      </c>
      <c t="str" s="30" r="G652">
        <f>HYPERLINK("http://sofifa.com/en/14w/p/n/99","Ben")</f>
        <v>Ben</v>
      </c>
      <c t="str" s="30" r="H652">
        <f>HYPERLINK("http://sofifa.com/en/14w/p/148285-rudy-gestede","R. Gestede")</f>
        <v>R. Gestede</v>
      </c>
      <c s="21" r="I652">
        <v>63</v>
      </c>
      <c t="s" s="21" r="J652">
        <v>90</v>
      </c>
      <c t="s" s="21" r="K652">
        <v>91</v>
      </c>
      <c s="21" r="L652">
        <v>24</v>
      </c>
      <c s="42" r="M652">
        <v>0.9</v>
      </c>
      <c s="42" r="N652">
        <v>0.004</v>
      </c>
      <c s="42" r="O652"/>
      <c s="42" r="P652">
        <f>IF((O652&gt;0),N652,0)</f>
        <v>0</v>
      </c>
      <c s="42" r="Q652"/>
    </row>
    <row r="653">
      <c t="s" s="42" r="A653">
        <v>51</v>
      </c>
      <c s="42" r="B653">
        <v>652</v>
      </c>
      <c s="21" r="C653">
        <v>42</v>
      </c>
      <c t="s" s="21" r="D653">
        <v>97</v>
      </c>
      <c t="s" s="42" r="E653">
        <v>52</v>
      </c>
      <c t="s" s="42" r="F653">
        <v>52</v>
      </c>
      <c t="str" s="30" r="G653">
        <f>HYPERLINK("http://sofifa.com/en/14w/p/n/50","Wal")</f>
        <v>Wal</v>
      </c>
      <c t="str" s="30" r="H653">
        <f>HYPERLINK("http://sofifa.com/en/14w/p/150739-declan-john","D. John")</f>
        <v>D. John</v>
      </c>
      <c s="21" r="I653">
        <v>59</v>
      </c>
      <c t="s" s="21" r="J653">
        <v>78</v>
      </c>
      <c t="s" s="21" r="K653">
        <v>94</v>
      </c>
      <c s="21" r="L653">
        <v>18</v>
      </c>
      <c s="42" r="M653">
        <v>0.4</v>
      </c>
      <c s="42" r="N653">
        <v>0.002</v>
      </c>
      <c s="42" r="O653"/>
      <c s="42" r="P653">
        <f>IF((O653&gt;0),N653,0)</f>
        <v>0</v>
      </c>
      <c s="42" r="Q653"/>
    </row>
    <row r="654">
      <c t="s" s="42" r="A654">
        <v>51</v>
      </c>
      <c s="42" r="B654">
        <v>653</v>
      </c>
      <c s="21" r="C654">
        <v>55</v>
      </c>
      <c t="s" s="21" r="D654">
        <v>97</v>
      </c>
      <c t="s" s="42" r="E654">
        <v>52</v>
      </c>
      <c t="s" s="42" r="F654">
        <v>52</v>
      </c>
      <c t="str" s="30" r="G654">
        <f>HYPERLINK("http://sofifa.com/en/14w/p/n/13","Den")</f>
        <v>Den</v>
      </c>
      <c t="str" s="30" r="H654">
        <f>HYPERLINK("http://sofifa.com/en/14w/p/149767-ibrahim-mansaray","I. Mansaray")</f>
        <v>I. Mansaray</v>
      </c>
      <c s="21" r="I654">
        <v>55</v>
      </c>
      <c t="s" s="21" r="J654">
        <v>98</v>
      </c>
      <c t="s" s="21" r="K654">
        <v>89</v>
      </c>
      <c s="21" r="L654">
        <v>20</v>
      </c>
      <c s="42" r="M654">
        <v>0.1</v>
      </c>
      <c s="42" r="N654">
        <v>0.002</v>
      </c>
      <c s="42" r="O654"/>
      <c s="42" r="P654">
        <f>IF((O654&gt;0),N654,0)</f>
        <v>0</v>
      </c>
      <c s="42" r="Q654"/>
    </row>
    <row r="655">
      <c t="s" s="42" r="A655">
        <v>51</v>
      </c>
      <c s="42" r="B655">
        <v>654</v>
      </c>
      <c s="21" r="C655">
        <v>46</v>
      </c>
      <c t="s" s="21" r="D655">
        <v>97</v>
      </c>
      <c t="s" s="42" r="E655">
        <v>52</v>
      </c>
      <c t="s" s="42" r="F655">
        <v>52</v>
      </c>
      <c t="str" s="30" r="G655">
        <f>HYPERLINK("http://sofifa.com/en/14w/p/n/50","Wal")</f>
        <v>Wal</v>
      </c>
      <c t="str" s="30" r="H655">
        <f>HYPERLINK("http://sofifa.com/en/14w/p/150533-rhys-healey","R. Healey")</f>
        <v>R. Healey</v>
      </c>
      <c s="21" r="I655">
        <v>58</v>
      </c>
      <c t="s" s="21" r="J655">
        <v>90</v>
      </c>
      <c t="s" s="21" r="K655">
        <v>86</v>
      </c>
      <c s="21" r="L655">
        <v>18</v>
      </c>
      <c s="42" r="M655">
        <v>0.4</v>
      </c>
      <c s="42" r="N655">
        <v>0.002</v>
      </c>
      <c s="42" r="O655"/>
      <c s="42" r="P655">
        <f>IF((O655&gt;0),N655,0)</f>
        <v>0</v>
      </c>
      <c s="42" r="Q655"/>
    </row>
    <row r="656">
      <c t="s" s="42" r="A656">
        <v>51</v>
      </c>
      <c s="42" r="B656">
        <v>655</v>
      </c>
      <c s="21" r="C656">
        <v>60</v>
      </c>
      <c t="s" s="21" r="D656">
        <v>97</v>
      </c>
      <c t="s" s="42" r="E656">
        <v>52</v>
      </c>
      <c t="s" s="42" r="F656">
        <v>52</v>
      </c>
      <c t="str" s="30" r="G656">
        <f>HYPERLINK("http://sofifa.com/en/14w/p/n/50","Wal")</f>
        <v>Wal</v>
      </c>
      <c t="str" s="30" r="H656">
        <f>HYPERLINK("http://sofifa.com/en/14w/p/150512-theo-wharton","T. Wharton")</f>
        <v>T. Wharton</v>
      </c>
      <c s="21" r="I656">
        <v>54</v>
      </c>
      <c t="s" s="21" r="J656">
        <v>81</v>
      </c>
      <c t="s" s="21" r="K656">
        <v>82</v>
      </c>
      <c s="21" r="L656">
        <v>18</v>
      </c>
      <c s="42" r="M656">
        <v>0.1</v>
      </c>
      <c s="42" r="N656">
        <v>0.002</v>
      </c>
      <c s="42" r="O656"/>
      <c s="42" r="P656">
        <f>IF((O656&gt;0),N656,0)</f>
        <v>0</v>
      </c>
      <c s="42" r="Q656"/>
    </row>
    <row r="657">
      <c t="s" s="42" r="A657">
        <v>51</v>
      </c>
      <c s="42" r="B657">
        <v>656</v>
      </c>
      <c s="21" r="C657">
        <v>26</v>
      </c>
      <c t="s" s="21" r="D657">
        <v>97</v>
      </c>
      <c t="s" s="42" r="E657">
        <v>52</v>
      </c>
      <c t="s" s="42" r="F657">
        <v>52</v>
      </c>
      <c t="str" s="30" r="G657">
        <f>HYPERLINK("http://sofifa.com/en/14w/p/n/43","Slo")</f>
        <v>Slo</v>
      </c>
      <c t="str" s="30" r="H657">
        <f>HYPERLINK("http://sofifa.com/en/14w/p/149018-filip-kiss","F. Kiss")</f>
        <v>F. Kiss</v>
      </c>
      <c s="21" r="I657">
        <v>63</v>
      </c>
      <c t="s" s="21" r="J657">
        <v>98</v>
      </c>
      <c t="s" s="21" r="K657">
        <v>73</v>
      </c>
      <c s="21" r="L657">
        <v>22</v>
      </c>
      <c s="42" r="M657">
        <v>0.8</v>
      </c>
      <c s="42" r="N657">
        <v>0.004</v>
      </c>
      <c s="42" r="O657"/>
      <c s="42" r="P657">
        <f>IF((O657&gt;0),N657,0)</f>
        <v>0</v>
      </c>
      <c s="42" r="Q657"/>
    </row>
    <row r="658">
      <c t="s" s="42" r="A658">
        <v>51</v>
      </c>
      <c s="42" r="B658">
        <v>657</v>
      </c>
      <c s="21" r="C658">
        <v>40</v>
      </c>
      <c t="s" s="21" r="D658">
        <v>97</v>
      </c>
      <c t="s" s="42" r="E658">
        <v>52</v>
      </c>
      <c t="s" s="42" r="F658">
        <v>52</v>
      </c>
      <c t="str" s="30" r="G658">
        <f>HYPERLINK("http://sofifa.com/en/14w/p/n/14","Eng")</f>
        <v>Eng</v>
      </c>
      <c t="str" s="30" r="H658">
        <f>HYPERLINK("http://sofifa.com/en/14w/p/149987-kadeem-harris","K. Harris")</f>
        <v>K. Harris</v>
      </c>
      <c s="21" r="I658">
        <v>57</v>
      </c>
      <c t="s" s="21" r="J658">
        <v>84</v>
      </c>
      <c t="s" s="21" r="K658">
        <v>94</v>
      </c>
      <c s="21" r="L658">
        <v>20</v>
      </c>
      <c s="42" r="M658">
        <v>0.2</v>
      </c>
      <c s="42" r="N658">
        <v>0.002</v>
      </c>
      <c s="42" r="O658"/>
      <c s="42" r="P658">
        <f>IF((O658&gt;0),N658,0)</f>
        <v>0</v>
      </c>
      <c s="42" r="Q658"/>
    </row>
    <row r="659">
      <c t="s" s="42" r="A659">
        <v>51</v>
      </c>
      <c s="42" r="B659">
        <v>658</v>
      </c>
      <c s="21" r="C659">
        <v>33</v>
      </c>
      <c t="s" s="21" r="D659">
        <v>97</v>
      </c>
      <c t="s" s="42" r="E659">
        <v>52</v>
      </c>
      <c t="s" s="42" r="F659">
        <v>52</v>
      </c>
      <c t="str" s="30" r="G659">
        <f>HYPERLINK("http://sofifa.com/en/14w/p/n/14","Eng")</f>
        <v>Eng</v>
      </c>
      <c t="str" s="30" r="H659">
        <f>HYPERLINK("http://sofifa.com/en/14w/p/148871-simon-moore","S. Moore")</f>
        <v>S. Moore</v>
      </c>
      <c s="21" r="I659">
        <v>63</v>
      </c>
      <c t="s" s="21" r="J659">
        <v>70</v>
      </c>
      <c t="s" s="21" r="K659">
        <v>95</v>
      </c>
      <c s="21" r="L659">
        <v>23</v>
      </c>
      <c s="42" r="M659">
        <v>0.7</v>
      </c>
      <c s="42" r="N659">
        <v>0.004</v>
      </c>
      <c s="42" r="O659"/>
      <c s="42" r="P659">
        <f>IF((O659&gt;0),N659,0)</f>
        <v>0</v>
      </c>
      <c s="42" r="Q659"/>
    </row>
    <row r="660">
      <c t="s" s="42" r="A660">
        <v>51</v>
      </c>
      <c s="42" r="B660">
        <v>659</v>
      </c>
      <c s="21" r="C660">
        <v>27</v>
      </c>
      <c t="s" s="21" r="D660">
        <v>97</v>
      </c>
      <c t="s" s="42" r="E660">
        <v>52</v>
      </c>
      <c t="s" s="42" r="F660">
        <v>52</v>
      </c>
      <c t="str" s="30" r="G660">
        <f>HYPERLINK("http://sofifa.com/en/14w/p/n/44","Slo")</f>
        <v>Slo</v>
      </c>
      <c t="str" s="30" r="H660">
        <f>HYPERLINK("http://sofifa.com/en/14w/p/148362-etien-velikonja","E. Velikonja")</f>
        <v>E. Velikonja</v>
      </c>
      <c s="21" r="I660">
        <v>63</v>
      </c>
      <c t="s" s="21" r="J660">
        <v>90</v>
      </c>
      <c t="s" s="21" r="K660">
        <v>82</v>
      </c>
      <c s="21" r="L660">
        <v>24</v>
      </c>
      <c s="42" r="M660">
        <v>0.9</v>
      </c>
      <c s="42" r="N660">
        <v>0.004</v>
      </c>
      <c s="42" r="O660"/>
      <c s="42" r="P660">
        <f>IF((O660&gt;0),N660,0)</f>
        <v>0</v>
      </c>
      <c s="42" r="Q660"/>
    </row>
    <row r="661">
      <c t="s" s="42" r="A661">
        <v>51</v>
      </c>
      <c s="42" r="B661">
        <v>660</v>
      </c>
      <c s="21" r="C661">
        <v>30</v>
      </c>
      <c t="s" s="21" r="D661">
        <v>97</v>
      </c>
      <c t="s" s="42" r="E661">
        <v>52</v>
      </c>
      <c t="s" s="42" r="F661">
        <v>52</v>
      </c>
      <c t="str" s="30" r="G661">
        <f>HYPERLINK("http://sofifa.com/en/14w/p/n/60","Uru")</f>
        <v>Uru</v>
      </c>
      <c t="str" s="30" r="H661">
        <f>HYPERLINK("http://sofifa.com/en/14w/p/149850-maximiliano-amondarain","M. Amondarain")</f>
        <v>M. Amondarain</v>
      </c>
      <c s="21" r="I661">
        <v>60</v>
      </c>
      <c t="s" s="21" r="J661">
        <v>75</v>
      </c>
      <c t="s" s="21" r="K661">
        <v>73</v>
      </c>
      <c s="21" r="L661">
        <v>20</v>
      </c>
      <c s="42" r="M661">
        <v>0.5</v>
      </c>
      <c s="42" r="N661">
        <v>0.003</v>
      </c>
      <c s="42" r="O661"/>
      <c s="42" r="P661">
        <f>IF((O661&gt;0),N661,0)</f>
        <v>0</v>
      </c>
      <c s="42" r="Q661"/>
    </row>
    <row r="662">
      <c s="9" r="A662"/>
      <c s="42" r="B662"/>
      <c s="28" r="C662"/>
      <c s="28" r="D662"/>
      <c s="28" r="E662"/>
      <c s="28" r="F662"/>
      <c s="28" r="G662"/>
      <c s="11" r="H662"/>
      <c s="28" r="I662"/>
      <c s="28" r="J662"/>
      <c s="28" r="K662"/>
      <c s="28" r="L662"/>
      <c s="39" r="M662"/>
      <c s="12" r="N662"/>
      <c s="42" r="O662"/>
      <c s="42" r="P662"/>
      <c s="42" r="Q662"/>
    </row>
  </sheetData>
  <autoFilter ref="A1:Q662">
    <sortState ref="A1:Q662"/>
  </autoFilter>
  <drawing r:id="rId1"/>
</worksheet>
</file>